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Shared Folders\DRAINSWQ\New Development\SWQ Design Manual\2018 Design Manual\"/>
    </mc:Choice>
  </mc:AlternateContent>
  <bookViews>
    <workbookView xWindow="0" yWindow="0" windowWidth="28800" windowHeight="14385" tabRatio="582"/>
  </bookViews>
  <sheets>
    <sheet name="Residential" sheetId="1" r:id="rId1"/>
    <sheet name="Imperviousconversion" sheetId="2" r:id="rId2"/>
    <sheet name="background" sheetId="4" r:id="rId3"/>
    <sheet name="revisions" sheetId="5" r:id="rId4"/>
  </sheets>
  <definedNames>
    <definedName name="Box_A">Residential!$F$17</definedName>
    <definedName name="Box_AAT">Residential!$K$220</definedName>
    <definedName name="Box_ACDP">Residential!$F$8</definedName>
    <definedName name="Box_AD">Residential!$E$260</definedName>
    <definedName name="Box_ALIDC">Residential!$K$212</definedName>
    <definedName name="Box_AOS">Residential!$F$10:$H$10</definedName>
    <definedName name="Box_APSOS">Residential!$F$19</definedName>
    <definedName name="Box_ARDperEF">Residential!$E$260</definedName>
    <definedName name="Box_AT">Residential!$F$26</definedName>
    <definedName name="Box_bio_design_rainfall_depth">Residential!$D$270</definedName>
    <definedName name="Box_bioret_area">Residential!$G$195</definedName>
    <definedName name="Box_capture_vol_inf">Residential!$G$203</definedName>
    <definedName name="Box_EAM">Residential!$L$79</definedName>
    <definedName name="Box_I">Residential!$F$32</definedName>
    <definedName name="Box_I1">Residential!$E$263</definedName>
    <definedName name="Box_IA">Residential!$K$222</definedName>
    <definedName name="Box_ImpAreaToAutoCapture">Residential!$K$193</definedName>
    <definedName name="Box_ImpAreaToBioretention">Residential!$K$197</definedName>
    <definedName name="Box_ImpAreaToCapture">Residential!$K$191</definedName>
    <definedName name="Box_ImpAreaToInfiltration">Residential!$K$203</definedName>
    <definedName name="Box_ImpAreaToInfOption2">Residential!$K$205</definedName>
    <definedName name="Box_ImpAreaToMulch">Residential!$K$209</definedName>
    <definedName name="Box_inf_design_rainfall_depth">Residential!$D$266</definedName>
    <definedName name="Box_Inf_Rainfall_Design_Depth">Residential!$D$266</definedName>
    <definedName name="Box_mulch_area">Residential!$G$209</definedName>
    <definedName name="Box_RMC_pts">Residential!$K$214</definedName>
    <definedName name="Box_RRC_pts">Residential!$K$82</definedName>
    <definedName name="Box_RRCOS">Residential!$F$36</definedName>
    <definedName name="Box_RRCOS_pts">Residential!$F$36</definedName>
    <definedName name="Box_RRCtreatment_pts">Residential!$K$82</definedName>
    <definedName name="Box_soil_inf_rate">Residential!$G$201</definedName>
    <definedName name="Box_soil_surface_area">Residential!$G$205</definedName>
    <definedName name="CASQA_drdn">background!$Q$4:$Q$5</definedName>
    <definedName name="cities">Residential!$K$242:$K$244</definedName>
    <definedName name="drawdown_hrs">Residential!$I$252</definedName>
    <definedName name="drawdown_hrs_inf">Residential!$G$200</definedName>
    <definedName name="drawdown_time">Imperviousconversion!$AI$3:$AI$5</definedName>
    <definedName name="DU">Residential!$F$28</definedName>
    <definedName name="DUA">Residential!$F$30</definedName>
    <definedName name="Full12hrSV">Residential!#REF!</definedName>
    <definedName name="PondingDepth">Residential!$G$197</definedName>
    <definedName name="_xlnm.Print_Area" localSheetId="0">Residential!$A$1:$P$258</definedName>
    <definedName name="TotalLIDCredit">Residential!$K$216</definedName>
  </definedNames>
  <calcPr calcId="162913" calcOnSave="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9" i="1" l="1"/>
  <c r="F10" i="1" l="1"/>
  <c r="F36" i="1" s="1"/>
  <c r="I207" i="1"/>
  <c r="E232" i="1" l="1"/>
  <c r="B130" i="4" l="1"/>
  <c r="B129" i="4"/>
  <c r="B128" i="4"/>
  <c r="B127" i="4"/>
  <c r="B126" i="4"/>
  <c r="B125" i="4"/>
  <c r="B124" i="4"/>
  <c r="B123" i="4"/>
  <c r="B122" i="4"/>
  <c r="B121" i="4"/>
  <c r="B120" i="4"/>
  <c r="B119" i="4"/>
  <c r="B118" i="4"/>
  <c r="G117" i="4"/>
  <c r="F117" i="4"/>
  <c r="F118" i="4" s="1"/>
  <c r="F119" i="4" s="1"/>
  <c r="F120" i="4" s="1"/>
  <c r="F121" i="4" s="1"/>
  <c r="F122" i="4" s="1"/>
  <c r="F123" i="4" s="1"/>
  <c r="F124" i="4" s="1"/>
  <c r="F125" i="4" s="1"/>
  <c r="F126" i="4" s="1"/>
  <c r="F127" i="4" s="1"/>
  <c r="F128" i="4" s="1"/>
  <c r="F129" i="4" s="1"/>
  <c r="F130" i="4" s="1"/>
  <c r="F131" i="4" s="1"/>
  <c r="F132" i="4" s="1"/>
  <c r="F133" i="4" s="1"/>
  <c r="F134" i="4" s="1"/>
  <c r="F135" i="4" s="1"/>
  <c r="F136" i="4" s="1"/>
  <c r="F137" i="4" s="1"/>
  <c r="F138" i="4" s="1"/>
  <c r="F139" i="4" s="1"/>
  <c r="F140" i="4" s="1"/>
  <c r="B117" i="4"/>
  <c r="B116" i="4"/>
  <c r="B115" i="4"/>
  <c r="B114" i="4"/>
  <c r="B113" i="4"/>
  <c r="B112" i="4"/>
  <c r="M111" i="4"/>
  <c r="P111" i="4" s="1"/>
  <c r="B111" i="4"/>
  <c r="L110" i="4"/>
  <c r="M110" i="4" s="1"/>
  <c r="P110" i="4" s="1"/>
  <c r="B110" i="4"/>
  <c r="L109" i="4"/>
  <c r="M109" i="4" s="1"/>
  <c r="P109" i="4" s="1"/>
  <c r="B109" i="4"/>
  <c r="M108" i="4"/>
  <c r="P108" i="4" s="1"/>
  <c r="L108" i="4"/>
  <c r="B108" i="4"/>
  <c r="L107" i="4"/>
  <c r="M107" i="4" s="1"/>
  <c r="P107" i="4" s="1"/>
  <c r="B107" i="4"/>
  <c r="L106" i="4"/>
  <c r="M106" i="4" s="1"/>
  <c r="P106" i="4" s="1"/>
  <c r="B106" i="4"/>
  <c r="L105" i="4"/>
  <c r="M105" i="4" s="1"/>
  <c r="P105" i="4" s="1"/>
  <c r="B105" i="4"/>
  <c r="L104" i="4"/>
  <c r="M104" i="4" s="1"/>
  <c r="P104" i="4" s="1"/>
  <c r="B104" i="4"/>
  <c r="L103" i="4"/>
  <c r="M103" i="4" s="1"/>
  <c r="P103" i="4" s="1"/>
  <c r="B103" i="4"/>
  <c r="L102" i="4"/>
  <c r="M102" i="4" s="1"/>
  <c r="P102" i="4" s="1"/>
  <c r="B102" i="4"/>
  <c r="L101" i="4"/>
  <c r="M101" i="4" s="1"/>
  <c r="P101" i="4" s="1"/>
  <c r="B101" i="4"/>
  <c r="L100" i="4"/>
  <c r="M100" i="4" s="1"/>
  <c r="P100" i="4" s="1"/>
  <c r="B100" i="4"/>
  <c r="L99" i="4"/>
  <c r="M99" i="4" s="1"/>
  <c r="P99" i="4" s="1"/>
  <c r="B99" i="4"/>
  <c r="L98" i="4"/>
  <c r="M98" i="4" s="1"/>
  <c r="P98" i="4" s="1"/>
  <c r="B98" i="4"/>
  <c r="L97" i="4"/>
  <c r="M97" i="4" s="1"/>
  <c r="P97" i="4" s="1"/>
  <c r="B97" i="4"/>
  <c r="L96" i="4"/>
  <c r="M96" i="4" s="1"/>
  <c r="P96" i="4" s="1"/>
  <c r="B96" i="4"/>
  <c r="L95" i="4"/>
  <c r="M95" i="4" s="1"/>
  <c r="P95" i="4" s="1"/>
  <c r="B95" i="4"/>
  <c r="L94" i="4"/>
  <c r="M94" i="4" s="1"/>
  <c r="P94" i="4" s="1"/>
  <c r="B94" i="4"/>
  <c r="L93" i="4"/>
  <c r="M93" i="4" s="1"/>
  <c r="P93" i="4" s="1"/>
  <c r="G93" i="4"/>
  <c r="F92" i="4" s="1"/>
  <c r="F93" i="4" s="1"/>
  <c r="F94" i="4" s="1"/>
  <c r="F95" i="4" s="1"/>
  <c r="F96" i="4" s="1"/>
  <c r="F97" i="4" s="1"/>
  <c r="F98" i="4" s="1"/>
  <c r="F99" i="4" s="1"/>
  <c r="F100" i="4" s="1"/>
  <c r="F101" i="4" s="1"/>
  <c r="F102" i="4" s="1"/>
  <c r="F103" i="4" s="1"/>
  <c r="F104" i="4" s="1"/>
  <c r="F105" i="4" s="1"/>
  <c r="F106" i="4" s="1"/>
  <c r="F107" i="4" s="1"/>
  <c r="F108" i="4" s="1"/>
  <c r="F109" i="4" s="1"/>
  <c r="F110" i="4" s="1"/>
  <c r="F111" i="4" s="1"/>
  <c r="F112" i="4" s="1"/>
  <c r="F113" i="4" s="1"/>
  <c r="F114" i="4" s="1"/>
  <c r="F115" i="4" s="1"/>
  <c r="B93" i="4"/>
  <c r="L92" i="4"/>
  <c r="M92" i="4" s="1"/>
  <c r="P92" i="4" s="1"/>
  <c r="B92" i="4"/>
  <c r="L91" i="4"/>
  <c r="M91" i="4" s="1"/>
  <c r="P91" i="4" s="1"/>
  <c r="B91" i="4"/>
  <c r="L90" i="4"/>
  <c r="M90" i="4" s="1"/>
  <c r="P90" i="4" s="1"/>
  <c r="B90" i="4"/>
  <c r="L89" i="4"/>
  <c r="M89" i="4" s="1"/>
  <c r="P89" i="4" s="1"/>
  <c r="B89" i="4"/>
  <c r="L88" i="4"/>
  <c r="M88" i="4" s="1"/>
  <c r="P88" i="4" s="1"/>
  <c r="B88" i="4"/>
  <c r="L87" i="4"/>
  <c r="M87" i="4" s="1"/>
  <c r="P87" i="4" s="1"/>
  <c r="B87" i="4"/>
  <c r="L86" i="4"/>
  <c r="M86" i="4" s="1"/>
  <c r="P86" i="4" s="1"/>
  <c r="B86" i="4"/>
  <c r="L85" i="4"/>
  <c r="M85" i="4" s="1"/>
  <c r="P85" i="4" s="1"/>
  <c r="B85" i="4"/>
  <c r="L84" i="4"/>
  <c r="M84" i="4" s="1"/>
  <c r="P84" i="4" s="1"/>
  <c r="B84" i="4"/>
  <c r="L83" i="4"/>
  <c r="M83" i="4" s="1"/>
  <c r="P83" i="4" s="1"/>
  <c r="B83" i="4"/>
  <c r="L82" i="4"/>
  <c r="M82" i="4" s="1"/>
  <c r="P82" i="4" s="1"/>
  <c r="B82" i="4"/>
  <c r="L81" i="4"/>
  <c r="M81" i="4" s="1"/>
  <c r="P81" i="4" s="1"/>
  <c r="B81" i="4"/>
  <c r="L80" i="4"/>
  <c r="M80" i="4" s="1"/>
  <c r="P80" i="4" s="1"/>
  <c r="B80" i="4"/>
  <c r="L79" i="4"/>
  <c r="M79" i="4" s="1"/>
  <c r="P79" i="4" s="1"/>
  <c r="B79" i="4"/>
  <c r="L78" i="4"/>
  <c r="M78" i="4" s="1"/>
  <c r="P78" i="4" s="1"/>
  <c r="B78" i="4"/>
  <c r="M77" i="4"/>
  <c r="P77" i="4" s="1"/>
  <c r="L77" i="4"/>
  <c r="B77" i="4"/>
  <c r="L76" i="4"/>
  <c r="M76" i="4" s="1"/>
  <c r="P76" i="4" s="1"/>
  <c r="B76" i="4"/>
  <c r="L75" i="4"/>
  <c r="M75" i="4" s="1"/>
  <c r="P75" i="4" s="1"/>
  <c r="B75" i="4"/>
  <c r="L74" i="4"/>
  <c r="M74" i="4" s="1"/>
  <c r="P74" i="4" s="1"/>
  <c r="B74" i="4"/>
  <c r="L73" i="4"/>
  <c r="M73" i="4" s="1"/>
  <c r="P73" i="4" s="1"/>
  <c r="B73" i="4"/>
  <c r="L72" i="4"/>
  <c r="M72" i="4" s="1"/>
  <c r="P72" i="4" s="1"/>
  <c r="B72" i="4"/>
  <c r="L71" i="4"/>
  <c r="M71" i="4" s="1"/>
  <c r="P71" i="4" s="1"/>
  <c r="B71" i="4"/>
  <c r="L70" i="4"/>
  <c r="M70" i="4" s="1"/>
  <c r="P70" i="4" s="1"/>
  <c r="B70" i="4"/>
  <c r="L69" i="4"/>
  <c r="M69" i="4" s="1"/>
  <c r="P69" i="4" s="1"/>
  <c r="B69" i="4"/>
  <c r="L68" i="4"/>
  <c r="M68" i="4" s="1"/>
  <c r="P68" i="4" s="1"/>
  <c r="G68" i="4"/>
  <c r="B68" i="4"/>
  <c r="L67" i="4"/>
  <c r="M67" i="4" s="1"/>
  <c r="P67" i="4" s="1"/>
  <c r="F67" i="4"/>
  <c r="F68" i="4" s="1"/>
  <c r="F69" i="4" s="1"/>
  <c r="F70" i="4" s="1"/>
  <c r="F71" i="4" s="1"/>
  <c r="F72" i="4" s="1"/>
  <c r="F73" i="4" s="1"/>
  <c r="F74" i="4" s="1"/>
  <c r="F75" i="4" s="1"/>
  <c r="F76" i="4" s="1"/>
  <c r="F77" i="4" s="1"/>
  <c r="F78" i="4" s="1"/>
  <c r="F79" i="4" s="1"/>
  <c r="F80" i="4" s="1"/>
  <c r="F81" i="4" s="1"/>
  <c r="F82" i="4" s="1"/>
  <c r="F83" i="4" s="1"/>
  <c r="F84" i="4" s="1"/>
  <c r="F85" i="4" s="1"/>
  <c r="F86" i="4" s="1"/>
  <c r="F87" i="4" s="1"/>
  <c r="F88" i="4" s="1"/>
  <c r="F89" i="4" s="1"/>
  <c r="F90" i="4" s="1"/>
  <c r="B67" i="4"/>
  <c r="L66" i="4"/>
  <c r="M66" i="4" s="1"/>
  <c r="P66" i="4" s="1"/>
  <c r="B66" i="4"/>
  <c r="L65" i="4"/>
  <c r="M65" i="4" s="1"/>
  <c r="P65" i="4" s="1"/>
  <c r="B65" i="4"/>
  <c r="L64" i="4"/>
  <c r="M64" i="4" s="1"/>
  <c r="P64" i="4" s="1"/>
  <c r="B64" i="4"/>
  <c r="L63" i="4"/>
  <c r="M63" i="4" s="1"/>
  <c r="P63" i="4" s="1"/>
  <c r="B63" i="4"/>
  <c r="L62" i="4"/>
  <c r="M62" i="4" s="1"/>
  <c r="P62" i="4" s="1"/>
  <c r="B62" i="4"/>
  <c r="L61" i="4"/>
  <c r="M61" i="4" s="1"/>
  <c r="P61" i="4" s="1"/>
  <c r="B61" i="4"/>
  <c r="L60" i="4"/>
  <c r="M60" i="4" s="1"/>
  <c r="P60" i="4" s="1"/>
  <c r="B60" i="4"/>
  <c r="L59" i="4"/>
  <c r="M59" i="4" s="1"/>
  <c r="P59" i="4" s="1"/>
  <c r="B59" i="4"/>
  <c r="L58" i="4"/>
  <c r="M58" i="4" s="1"/>
  <c r="P58" i="4" s="1"/>
  <c r="B58" i="4"/>
  <c r="L57" i="4"/>
  <c r="M57" i="4" s="1"/>
  <c r="P57" i="4" s="1"/>
  <c r="B57" i="4"/>
  <c r="L56" i="4"/>
  <c r="M56" i="4" s="1"/>
  <c r="P56" i="4" s="1"/>
  <c r="B56" i="4"/>
  <c r="M55" i="4"/>
  <c r="P55" i="4" s="1"/>
  <c r="L55" i="4"/>
  <c r="B55" i="4"/>
  <c r="L54" i="4"/>
  <c r="M54" i="4" s="1"/>
  <c r="P54" i="4" s="1"/>
  <c r="B54" i="4"/>
  <c r="L53" i="4"/>
  <c r="M53" i="4" s="1"/>
  <c r="P53" i="4" s="1"/>
  <c r="B53" i="4"/>
  <c r="L52" i="4"/>
  <c r="M52" i="4" s="1"/>
  <c r="P52" i="4" s="1"/>
  <c r="B52" i="4"/>
  <c r="M51" i="4"/>
  <c r="P51" i="4" s="1"/>
  <c r="L51" i="4"/>
  <c r="B51" i="4"/>
  <c r="L50" i="4"/>
  <c r="M50" i="4" s="1"/>
  <c r="P50" i="4" s="1"/>
  <c r="B50" i="4"/>
  <c r="L49" i="4"/>
  <c r="M49" i="4" s="1"/>
  <c r="P49" i="4" s="1"/>
  <c r="B49" i="4"/>
  <c r="L48" i="4"/>
  <c r="M48" i="4" s="1"/>
  <c r="P48" i="4" s="1"/>
  <c r="B48" i="4"/>
  <c r="L47" i="4"/>
  <c r="M47" i="4" s="1"/>
  <c r="P47" i="4" s="1"/>
  <c r="B47" i="4"/>
  <c r="L46" i="4"/>
  <c r="M46" i="4" s="1"/>
  <c r="P46" i="4" s="1"/>
  <c r="B46" i="4"/>
  <c r="L45" i="4"/>
  <c r="M45" i="4" s="1"/>
  <c r="P45" i="4" s="1"/>
  <c r="B45" i="4"/>
  <c r="L44" i="4"/>
  <c r="M44" i="4" s="1"/>
  <c r="P44" i="4" s="1"/>
  <c r="B44" i="4"/>
  <c r="L43" i="4"/>
  <c r="M43" i="4" s="1"/>
  <c r="P43" i="4" s="1"/>
  <c r="B43" i="4"/>
  <c r="L42" i="4"/>
  <c r="M42" i="4" s="1"/>
  <c r="P42" i="4" s="1"/>
  <c r="B42" i="4"/>
  <c r="L41" i="4"/>
  <c r="M41" i="4" s="1"/>
  <c r="P41" i="4" s="1"/>
  <c r="G41" i="4"/>
  <c r="F42" i="4" s="1"/>
  <c r="F43" i="4" s="1"/>
  <c r="F44" i="4" s="1"/>
  <c r="F45" i="4" s="1"/>
  <c r="F46" i="4" s="1"/>
  <c r="F47" i="4" s="1"/>
  <c r="F48" i="4" s="1"/>
  <c r="F49" i="4" s="1"/>
  <c r="F50" i="4" s="1"/>
  <c r="F51" i="4" s="1"/>
  <c r="F52" i="4" s="1"/>
  <c r="F53" i="4" s="1"/>
  <c r="F54" i="4" s="1"/>
  <c r="F55" i="4" s="1"/>
  <c r="F56" i="4" s="1"/>
  <c r="F57" i="4" s="1"/>
  <c r="F58" i="4" s="1"/>
  <c r="F59" i="4" s="1"/>
  <c r="F60" i="4" s="1"/>
  <c r="F61" i="4" s="1"/>
  <c r="F62" i="4" s="1"/>
  <c r="F63" i="4" s="1"/>
  <c r="F64" i="4" s="1"/>
  <c r="F65" i="4" s="1"/>
  <c r="B41" i="4"/>
  <c r="L40" i="4"/>
  <c r="M40" i="4" s="1"/>
  <c r="P40" i="4" s="1"/>
  <c r="L39" i="4"/>
  <c r="M39" i="4" s="1"/>
  <c r="P39" i="4" s="1"/>
  <c r="L38" i="4"/>
  <c r="M38" i="4" s="1"/>
  <c r="P38" i="4" s="1"/>
  <c r="L37" i="4"/>
  <c r="M37" i="4" s="1"/>
  <c r="P37" i="4" s="1"/>
  <c r="L36" i="4"/>
  <c r="M36" i="4" s="1"/>
  <c r="P36" i="4" s="1"/>
  <c r="M35" i="4"/>
  <c r="P35" i="4" s="1"/>
  <c r="L35" i="4"/>
  <c r="L34" i="4"/>
  <c r="M34" i="4" s="1"/>
  <c r="P34" i="4" s="1"/>
  <c r="L33" i="4"/>
  <c r="M33" i="4" s="1"/>
  <c r="L32" i="4"/>
  <c r="M32" i="4" s="1"/>
  <c r="P32" i="4" s="1"/>
  <c r="L31" i="4"/>
  <c r="M31" i="4" s="1"/>
  <c r="L30" i="4"/>
  <c r="M30" i="4" s="1"/>
  <c r="P30" i="4" s="1"/>
  <c r="L29" i="4"/>
  <c r="M29" i="4" s="1"/>
  <c r="L28" i="4"/>
  <c r="M28" i="4" s="1"/>
  <c r="P28" i="4" s="1"/>
  <c r="M27" i="4"/>
  <c r="P27" i="4" s="1"/>
  <c r="L27" i="4"/>
  <c r="L26" i="4"/>
  <c r="M26" i="4" s="1"/>
  <c r="P26" i="4" s="1"/>
  <c r="L25" i="4"/>
  <c r="M25" i="4" s="1"/>
  <c r="O25" i="4" s="1"/>
  <c r="L24" i="4"/>
  <c r="M24" i="4" s="1"/>
  <c r="P24" i="4" s="1"/>
  <c r="L23" i="4"/>
  <c r="M23" i="4" s="1"/>
  <c r="P23" i="4" s="1"/>
  <c r="L22" i="4"/>
  <c r="M22" i="4" s="1"/>
  <c r="P22" i="4" s="1"/>
  <c r="L21" i="4"/>
  <c r="M21" i="4" s="1"/>
  <c r="O21" i="4" s="1"/>
  <c r="L20" i="4"/>
  <c r="M20" i="4" s="1"/>
  <c r="P20" i="4" s="1"/>
  <c r="L19" i="4"/>
  <c r="M19" i="4" s="1"/>
  <c r="P19" i="4" s="1"/>
  <c r="L18" i="4"/>
  <c r="M18" i="4" s="1"/>
  <c r="P18" i="4" s="1"/>
  <c r="L17" i="4"/>
  <c r="M17" i="4" s="1"/>
  <c r="L16" i="4"/>
  <c r="M16" i="4" s="1"/>
  <c r="P16" i="4" s="1"/>
  <c r="L15" i="4"/>
  <c r="M15" i="4" s="1"/>
  <c r="O15" i="4" s="1"/>
  <c r="L14" i="4"/>
  <c r="M14" i="4" s="1"/>
  <c r="P14" i="4" s="1"/>
  <c r="L13" i="4"/>
  <c r="M13" i="4" s="1"/>
  <c r="L12" i="4"/>
  <c r="M12" i="4" s="1"/>
  <c r="P12" i="4" s="1"/>
  <c r="M5" i="4"/>
  <c r="M4" i="4"/>
  <c r="N64" i="4" s="1"/>
  <c r="J160" i="1"/>
  <c r="J151" i="1"/>
  <c r="J142" i="1"/>
  <c r="O29" i="4" l="1"/>
  <c r="O33" i="4"/>
  <c r="O13" i="4"/>
  <c r="O17" i="4"/>
  <c r="O31" i="4"/>
  <c r="J165" i="1"/>
  <c r="N18" i="4"/>
  <c r="O19" i="4"/>
  <c r="N20" i="4"/>
  <c r="N22" i="4"/>
  <c r="O23" i="4"/>
  <c r="N26" i="4"/>
  <c r="O27" i="4"/>
  <c r="N30" i="4"/>
  <c r="O109" i="4"/>
  <c r="O107" i="4"/>
  <c r="O105" i="4"/>
  <c r="O103" i="4"/>
  <c r="O101" i="4"/>
  <c r="O99" i="4"/>
  <c r="O97" i="4"/>
  <c r="O95" i="4"/>
  <c r="O93" i="4"/>
  <c r="O92" i="4"/>
  <c r="O89" i="4"/>
  <c r="O87" i="4"/>
  <c r="O111" i="4"/>
  <c r="O110" i="4"/>
  <c r="O108" i="4"/>
  <c r="O106" i="4"/>
  <c r="O104" i="4"/>
  <c r="O102" i="4"/>
  <c r="O100" i="4"/>
  <c r="O98" i="4"/>
  <c r="O94" i="4"/>
  <c r="O91" i="4"/>
  <c r="O90" i="4"/>
  <c r="O86" i="4"/>
  <c r="O85" i="4"/>
  <c r="O83" i="4"/>
  <c r="O81" i="4"/>
  <c r="O79" i="4"/>
  <c r="O77" i="4"/>
  <c r="O75" i="4"/>
  <c r="O73" i="4"/>
  <c r="O71" i="4"/>
  <c r="O69" i="4"/>
  <c r="O66" i="4"/>
  <c r="O65" i="4"/>
  <c r="O96" i="4"/>
  <c r="O88" i="4"/>
  <c r="O84" i="4"/>
  <c r="O82" i="4"/>
  <c r="O80" i="4"/>
  <c r="O78" i="4"/>
  <c r="O76" i="4"/>
  <c r="O74" i="4"/>
  <c r="O72" i="4"/>
  <c r="O70" i="4"/>
  <c r="O68" i="4"/>
  <c r="O67" i="4"/>
  <c r="O64" i="4"/>
  <c r="O62" i="4"/>
  <c r="O60" i="4"/>
  <c r="O58" i="4"/>
  <c r="O56" i="4"/>
  <c r="O12" i="4"/>
  <c r="N13" i="4"/>
  <c r="P13" i="4"/>
  <c r="O14" i="4"/>
  <c r="N15" i="4"/>
  <c r="P15" i="4"/>
  <c r="O16" i="4"/>
  <c r="N17" i="4"/>
  <c r="P17" i="4"/>
  <c r="O18" i="4"/>
  <c r="N19" i="4"/>
  <c r="O20" i="4"/>
  <c r="N21" i="4"/>
  <c r="P21" i="4"/>
  <c r="O22" i="4"/>
  <c r="N23" i="4"/>
  <c r="O24" i="4"/>
  <c r="N25" i="4"/>
  <c r="P25" i="4"/>
  <c r="O26" i="4"/>
  <c r="N27" i="4"/>
  <c r="O28" i="4"/>
  <c r="N29" i="4"/>
  <c r="P29" i="4"/>
  <c r="O30" i="4"/>
  <c r="N31" i="4"/>
  <c r="P31" i="4"/>
  <c r="O32" i="4"/>
  <c r="N33" i="4"/>
  <c r="P33" i="4"/>
  <c r="O34" i="4"/>
  <c r="N35" i="4"/>
  <c r="O36" i="4"/>
  <c r="N37" i="4"/>
  <c r="O38" i="4"/>
  <c r="N39" i="4"/>
  <c r="O40" i="4"/>
  <c r="N41" i="4"/>
  <c r="O42" i="4"/>
  <c r="N43" i="4"/>
  <c r="O44" i="4"/>
  <c r="N45" i="4"/>
  <c r="O46" i="4"/>
  <c r="N47" i="4"/>
  <c r="O48" i="4"/>
  <c r="N49" i="4"/>
  <c r="O50" i="4"/>
  <c r="N51" i="4"/>
  <c r="O52" i="4"/>
  <c r="N53" i="4"/>
  <c r="O54" i="4"/>
  <c r="N55" i="4"/>
  <c r="N56" i="4"/>
  <c r="O57" i="4"/>
  <c r="N60" i="4"/>
  <c r="O61" i="4"/>
  <c r="N111" i="4"/>
  <c r="N110" i="4"/>
  <c r="N108" i="4"/>
  <c r="N106" i="4"/>
  <c r="N104" i="4"/>
  <c r="N102" i="4"/>
  <c r="N100" i="4"/>
  <c r="N98" i="4"/>
  <c r="N96" i="4"/>
  <c r="N94" i="4"/>
  <c r="N91" i="4"/>
  <c r="N90" i="4"/>
  <c r="N88" i="4"/>
  <c r="N86" i="4"/>
  <c r="N109" i="4"/>
  <c r="N107" i="4"/>
  <c r="N105" i="4"/>
  <c r="N103" i="4"/>
  <c r="N101" i="4"/>
  <c r="N99" i="4"/>
  <c r="N97" i="4"/>
  <c r="N93" i="4"/>
  <c r="N92" i="4"/>
  <c r="N89" i="4"/>
  <c r="N84" i="4"/>
  <c r="N82" i="4"/>
  <c r="N80" i="4"/>
  <c r="N78" i="4"/>
  <c r="N76" i="4"/>
  <c r="N74" i="4"/>
  <c r="N72" i="4"/>
  <c r="N70" i="4"/>
  <c r="N68" i="4"/>
  <c r="N67" i="4"/>
  <c r="N95" i="4"/>
  <c r="N87" i="4"/>
  <c r="N85" i="4"/>
  <c r="N83" i="4"/>
  <c r="N81" i="4"/>
  <c r="N79" i="4"/>
  <c r="N77" i="4"/>
  <c r="N75" i="4"/>
  <c r="N73" i="4"/>
  <c r="N71" i="4"/>
  <c r="N69" i="4"/>
  <c r="N66" i="4"/>
  <c r="N65" i="4"/>
  <c r="N63" i="4"/>
  <c r="N61" i="4"/>
  <c r="N59" i="4"/>
  <c r="N57" i="4"/>
  <c r="N12" i="4"/>
  <c r="N14" i="4"/>
  <c r="N16" i="4"/>
  <c r="N24" i="4"/>
  <c r="N28" i="4"/>
  <c r="N32" i="4"/>
  <c r="N34" i="4"/>
  <c r="O35" i="4"/>
  <c r="N36" i="4"/>
  <c r="O37" i="4"/>
  <c r="N38" i="4"/>
  <c r="O39" i="4"/>
  <c r="N40" i="4"/>
  <c r="O41" i="4"/>
  <c r="N42" i="4"/>
  <c r="O43" i="4"/>
  <c r="N44" i="4"/>
  <c r="O45" i="4"/>
  <c r="N46" i="4"/>
  <c r="O47" i="4"/>
  <c r="N48" i="4"/>
  <c r="O49" i="4"/>
  <c r="N50" i="4"/>
  <c r="O51" i="4"/>
  <c r="N52" i="4"/>
  <c r="O53" i="4"/>
  <c r="N54" i="4"/>
  <c r="O55" i="4"/>
  <c r="N58" i="4"/>
  <c r="O59" i="4"/>
  <c r="N62" i="4"/>
  <c r="O63" i="4"/>
  <c r="J167" i="1" l="1"/>
  <c r="L74" i="1" s="1"/>
  <c r="K209" i="1"/>
  <c r="E260" i="1" l="1"/>
  <c r="K191" i="1" s="1"/>
  <c r="F26" i="1" l="1"/>
  <c r="N128" i="1" s="1"/>
  <c r="N184" i="1" l="1"/>
  <c r="L76" i="1" s="1"/>
  <c r="F30" i="1"/>
  <c r="H112" i="1" s="1"/>
  <c r="H115" i="1" s="1"/>
  <c r="L72" i="1"/>
  <c r="M117" i="1" l="1"/>
  <c r="L70" i="1" s="1"/>
  <c r="L79" i="1" s="1"/>
  <c r="F32" i="1"/>
  <c r="AE111" i="2"/>
  <c r="AH111" i="2" s="1"/>
  <c r="AD110" i="2"/>
  <c r="AE110" i="2" s="1"/>
  <c r="AH110" i="2" s="1"/>
  <c r="AD109" i="2"/>
  <c r="AE109" i="2" s="1"/>
  <c r="AH109" i="2" s="1"/>
  <c r="AE108" i="2"/>
  <c r="AH108" i="2" s="1"/>
  <c r="AD108" i="2"/>
  <c r="AD107" i="2"/>
  <c r="AE107" i="2" s="1"/>
  <c r="AH107" i="2" s="1"/>
  <c r="AD106" i="2"/>
  <c r="AE106" i="2" s="1"/>
  <c r="AH106" i="2" s="1"/>
  <c r="AD105" i="2"/>
  <c r="AE105" i="2" s="1"/>
  <c r="AH105" i="2" s="1"/>
  <c r="P105" i="2"/>
  <c r="AD104" i="2"/>
  <c r="AE104" i="2" s="1"/>
  <c r="AH104" i="2" s="1"/>
  <c r="P104" i="2"/>
  <c r="AD103" i="2"/>
  <c r="AE103" i="2" s="1"/>
  <c r="AH103" i="2" s="1"/>
  <c r="P103" i="2"/>
  <c r="AD102" i="2"/>
  <c r="AE102" i="2" s="1"/>
  <c r="AH102" i="2" s="1"/>
  <c r="P102" i="2"/>
  <c r="AE101" i="2"/>
  <c r="AH101" i="2" s="1"/>
  <c r="AD101" i="2"/>
  <c r="P101" i="2"/>
  <c r="AD100" i="2"/>
  <c r="AE100" i="2" s="1"/>
  <c r="AH100" i="2" s="1"/>
  <c r="P100" i="2"/>
  <c r="AD99" i="2"/>
  <c r="AE99" i="2" s="1"/>
  <c r="AH99" i="2" s="1"/>
  <c r="P99" i="2"/>
  <c r="AD98" i="2"/>
  <c r="AE98" i="2" s="1"/>
  <c r="AH98" i="2" s="1"/>
  <c r="P98" i="2"/>
  <c r="AD97" i="2"/>
  <c r="AE97" i="2" s="1"/>
  <c r="AH97" i="2" s="1"/>
  <c r="P97" i="2"/>
  <c r="AD96" i="2"/>
  <c r="AE96" i="2" s="1"/>
  <c r="AH96" i="2" s="1"/>
  <c r="P96" i="2"/>
  <c r="AD95" i="2"/>
  <c r="AE95" i="2" s="1"/>
  <c r="AH95" i="2" s="1"/>
  <c r="P95" i="2"/>
  <c r="AD94" i="2"/>
  <c r="AE94" i="2" s="1"/>
  <c r="AH94" i="2" s="1"/>
  <c r="P94" i="2"/>
  <c r="AD93" i="2"/>
  <c r="AE93" i="2" s="1"/>
  <c r="AH93" i="2" s="1"/>
  <c r="P93" i="2"/>
  <c r="AD92" i="2"/>
  <c r="AE92" i="2" s="1"/>
  <c r="AH92" i="2" s="1"/>
  <c r="P92" i="2"/>
  <c r="AD91" i="2"/>
  <c r="AE91" i="2" s="1"/>
  <c r="AH91" i="2" s="1"/>
  <c r="P91" i="2"/>
  <c r="AD90" i="2"/>
  <c r="AE90" i="2" s="1"/>
  <c r="AH90" i="2" s="1"/>
  <c r="P90" i="2"/>
  <c r="AD89" i="2"/>
  <c r="AE89" i="2" s="1"/>
  <c r="AH89" i="2" s="1"/>
  <c r="P89" i="2"/>
  <c r="AD88" i="2"/>
  <c r="AE88" i="2" s="1"/>
  <c r="AH88" i="2" s="1"/>
  <c r="P88" i="2"/>
  <c r="AD87" i="2"/>
  <c r="AE87" i="2" s="1"/>
  <c r="AH87" i="2" s="1"/>
  <c r="P87" i="2"/>
  <c r="AD86" i="2"/>
  <c r="AE86" i="2" s="1"/>
  <c r="AH86" i="2" s="1"/>
  <c r="P86" i="2"/>
  <c r="AE85" i="2"/>
  <c r="AH85" i="2" s="1"/>
  <c r="AD85" i="2"/>
  <c r="P85" i="2"/>
  <c r="AD84" i="2"/>
  <c r="AE84" i="2" s="1"/>
  <c r="AH84" i="2" s="1"/>
  <c r="P84" i="2"/>
  <c r="AD83" i="2"/>
  <c r="AE83" i="2" s="1"/>
  <c r="AH83" i="2" s="1"/>
  <c r="P83" i="2"/>
  <c r="AD82" i="2"/>
  <c r="AE82" i="2" s="1"/>
  <c r="AH82" i="2" s="1"/>
  <c r="P82" i="2"/>
  <c r="AD81" i="2"/>
  <c r="AE81" i="2" s="1"/>
  <c r="AH81" i="2" s="1"/>
  <c r="U81" i="2"/>
  <c r="T81" i="2" s="1"/>
  <c r="T82" i="2" s="1"/>
  <c r="T83" i="2" s="1"/>
  <c r="T84" i="2" s="1"/>
  <c r="T85" i="2" s="1"/>
  <c r="T86" i="2" s="1"/>
  <c r="T87" i="2" s="1"/>
  <c r="T88" i="2" s="1"/>
  <c r="T89" i="2" s="1"/>
  <c r="T90" i="2" s="1"/>
  <c r="T91" i="2" s="1"/>
  <c r="T92" i="2" s="1"/>
  <c r="T93" i="2" s="1"/>
  <c r="T94" i="2" s="1"/>
  <c r="T95" i="2" s="1"/>
  <c r="T96" i="2" s="1"/>
  <c r="T97" i="2" s="1"/>
  <c r="T98" i="2" s="1"/>
  <c r="T99" i="2" s="1"/>
  <c r="T100" i="2" s="1"/>
  <c r="T101" i="2" s="1"/>
  <c r="T102" i="2" s="1"/>
  <c r="T103" i="2" s="1"/>
  <c r="T104" i="2" s="1"/>
  <c r="P81" i="2"/>
  <c r="AD80" i="2"/>
  <c r="AE80" i="2" s="1"/>
  <c r="AH80" i="2" s="1"/>
  <c r="P80" i="2"/>
  <c r="AD79" i="2"/>
  <c r="P79" i="2"/>
  <c r="AD78" i="2"/>
  <c r="AE78" i="2" s="1"/>
  <c r="AH78" i="2" s="1"/>
  <c r="P78" i="2"/>
  <c r="AE77" i="2"/>
  <c r="AH77" i="2" s="1"/>
  <c r="AD77" i="2"/>
  <c r="P77" i="2"/>
  <c r="AD76" i="2"/>
  <c r="AE76" i="2" s="1"/>
  <c r="AH76" i="2" s="1"/>
  <c r="P76" i="2"/>
  <c r="AD75" i="2"/>
  <c r="AE75" i="2" s="1"/>
  <c r="AH75" i="2" s="1"/>
  <c r="P75" i="2"/>
  <c r="AD74" i="2"/>
  <c r="AE74" i="2" s="1"/>
  <c r="AH74" i="2" s="1"/>
  <c r="P74" i="2"/>
  <c r="AD73" i="2"/>
  <c r="AE73" i="2" s="1"/>
  <c r="AH73" i="2" s="1"/>
  <c r="P73" i="2"/>
  <c r="AD72" i="2"/>
  <c r="AE72" i="2" s="1"/>
  <c r="AH72" i="2" s="1"/>
  <c r="P72" i="2"/>
  <c r="AD71" i="2"/>
  <c r="AE71" i="2" s="1"/>
  <c r="AH71" i="2" s="1"/>
  <c r="P71" i="2"/>
  <c r="AE70" i="2"/>
  <c r="AH70" i="2" s="1"/>
  <c r="AD70" i="2"/>
  <c r="P70" i="2"/>
  <c r="AD69" i="2"/>
  <c r="AE69" i="2" s="1"/>
  <c r="AH69" i="2" s="1"/>
  <c r="P69" i="2"/>
  <c r="AD68" i="2"/>
  <c r="AE68" i="2" s="1"/>
  <c r="AH68" i="2" s="1"/>
  <c r="P68" i="2"/>
  <c r="AD67" i="2"/>
  <c r="AE67" i="2" s="1"/>
  <c r="AH67" i="2" s="1"/>
  <c r="P67" i="2"/>
  <c r="AD66" i="2"/>
  <c r="AE66" i="2" s="1"/>
  <c r="AH66" i="2" s="1"/>
  <c r="P66" i="2"/>
  <c r="AD65" i="2"/>
  <c r="AE65" i="2" s="1"/>
  <c r="AH65" i="2" s="1"/>
  <c r="P65" i="2"/>
  <c r="AD64" i="2"/>
  <c r="AE64" i="2" s="1"/>
  <c r="AH64" i="2" s="1"/>
  <c r="P64" i="2"/>
  <c r="AD63" i="2"/>
  <c r="AE63" i="2" s="1"/>
  <c r="AH63" i="2" s="1"/>
  <c r="P63" i="2"/>
  <c r="AD62" i="2"/>
  <c r="AE62" i="2" s="1"/>
  <c r="AH62" i="2" s="1"/>
  <c r="P62" i="2"/>
  <c r="AD61" i="2"/>
  <c r="AE61" i="2" s="1"/>
  <c r="AH61" i="2" s="1"/>
  <c r="P61" i="2"/>
  <c r="AD60" i="2"/>
  <c r="AE60" i="2" s="1"/>
  <c r="AH60" i="2" s="1"/>
  <c r="P60" i="2"/>
  <c r="AD59" i="2"/>
  <c r="AE59" i="2" s="1"/>
  <c r="AH59" i="2" s="1"/>
  <c r="P59" i="2"/>
  <c r="AE58" i="2"/>
  <c r="AH58" i="2" s="1"/>
  <c r="AD58" i="2"/>
  <c r="P58" i="2"/>
  <c r="AD57" i="2"/>
  <c r="AE57" i="2" s="1"/>
  <c r="AH57" i="2" s="1"/>
  <c r="U57" i="2"/>
  <c r="T56" i="2" s="1"/>
  <c r="T57" i="2" s="1"/>
  <c r="T58" i="2" s="1"/>
  <c r="T59" i="2" s="1"/>
  <c r="T60" i="2" s="1"/>
  <c r="T61" i="2" s="1"/>
  <c r="T62" i="2" s="1"/>
  <c r="T63" i="2" s="1"/>
  <c r="T64" i="2" s="1"/>
  <c r="T65" i="2" s="1"/>
  <c r="T66" i="2" s="1"/>
  <c r="T67" i="2" s="1"/>
  <c r="T68" i="2" s="1"/>
  <c r="T69" i="2" s="1"/>
  <c r="T70" i="2" s="1"/>
  <c r="T71" i="2" s="1"/>
  <c r="T72" i="2" s="1"/>
  <c r="T73" i="2" s="1"/>
  <c r="T74" i="2" s="1"/>
  <c r="T75" i="2" s="1"/>
  <c r="T76" i="2" s="1"/>
  <c r="T77" i="2" s="1"/>
  <c r="T78" i="2" s="1"/>
  <c r="T79" i="2" s="1"/>
  <c r="P57" i="2"/>
  <c r="AD56" i="2"/>
  <c r="AE56" i="2" s="1"/>
  <c r="AH56" i="2" s="1"/>
  <c r="P56" i="2"/>
  <c r="AE55" i="2"/>
  <c r="AH55" i="2" s="1"/>
  <c r="AD55" i="2"/>
  <c r="P55" i="2"/>
  <c r="AD54" i="2"/>
  <c r="AE54" i="2" s="1"/>
  <c r="AH54" i="2" s="1"/>
  <c r="P54" i="2"/>
  <c r="AD53" i="2"/>
  <c r="AE53" i="2" s="1"/>
  <c r="AH53" i="2" s="1"/>
  <c r="P53" i="2"/>
  <c r="AD52" i="2"/>
  <c r="AE52" i="2" s="1"/>
  <c r="AH52" i="2" s="1"/>
  <c r="P52" i="2"/>
  <c r="AD51" i="2"/>
  <c r="AE51" i="2" s="1"/>
  <c r="AH51" i="2" s="1"/>
  <c r="P51" i="2"/>
  <c r="AD50" i="2"/>
  <c r="AE50" i="2" s="1"/>
  <c r="AH50" i="2" s="1"/>
  <c r="P50" i="2"/>
  <c r="AD49" i="2"/>
  <c r="AE49" i="2" s="1"/>
  <c r="AH49" i="2" s="1"/>
  <c r="P49" i="2"/>
  <c r="AE48" i="2"/>
  <c r="AH48" i="2" s="1"/>
  <c r="AD48" i="2"/>
  <c r="P48" i="2"/>
  <c r="AD47" i="2"/>
  <c r="AE47" i="2" s="1"/>
  <c r="AH47" i="2" s="1"/>
  <c r="P47" i="2"/>
  <c r="AD46" i="2"/>
  <c r="AE46" i="2" s="1"/>
  <c r="AH46" i="2" s="1"/>
  <c r="P46" i="2"/>
  <c r="AD45" i="2"/>
  <c r="AE45" i="2" s="1"/>
  <c r="AH45" i="2" s="1"/>
  <c r="P45" i="2"/>
  <c r="AD44" i="2"/>
  <c r="AE44" i="2" s="1"/>
  <c r="AH44" i="2" s="1"/>
  <c r="P44" i="2"/>
  <c r="AD43" i="2"/>
  <c r="AE43" i="2" s="1"/>
  <c r="AH43" i="2" s="1"/>
  <c r="P43" i="2"/>
  <c r="AD42" i="2"/>
  <c r="AE42" i="2" s="1"/>
  <c r="AH42" i="2" s="1"/>
  <c r="P42" i="2"/>
  <c r="AD41" i="2"/>
  <c r="AE41" i="2" s="1"/>
  <c r="AH41" i="2" s="1"/>
  <c r="P41" i="2"/>
  <c r="AD40" i="2"/>
  <c r="AE40" i="2" s="1"/>
  <c r="AH40" i="2" s="1"/>
  <c r="P40" i="2"/>
  <c r="AE39" i="2"/>
  <c r="AH39" i="2" s="1"/>
  <c r="AD39" i="2"/>
  <c r="P39" i="2"/>
  <c r="AD38" i="2"/>
  <c r="AE38" i="2" s="1"/>
  <c r="AH38" i="2" s="1"/>
  <c r="P38" i="2"/>
  <c r="AD37" i="2"/>
  <c r="AE37" i="2" s="1"/>
  <c r="AH37" i="2" s="1"/>
  <c r="P37" i="2"/>
  <c r="AD36" i="2"/>
  <c r="AE36" i="2" s="1"/>
  <c r="AH36" i="2" s="1"/>
  <c r="P36" i="2"/>
  <c r="AD35" i="2"/>
  <c r="AE35" i="2" s="1"/>
  <c r="AH35" i="2" s="1"/>
  <c r="P35" i="2"/>
  <c r="AD34" i="2"/>
  <c r="AE34" i="2" s="1"/>
  <c r="AH34" i="2" s="1"/>
  <c r="P34" i="2"/>
  <c r="I34" i="2"/>
  <c r="F34" i="2"/>
  <c r="C34" i="2"/>
  <c r="AD33" i="2"/>
  <c r="AE33" i="2" s="1"/>
  <c r="AH33" i="2" s="1"/>
  <c r="P33" i="2"/>
  <c r="I33" i="2"/>
  <c r="F33" i="2"/>
  <c r="C33" i="2"/>
  <c r="AD32" i="2"/>
  <c r="AE32" i="2" s="1"/>
  <c r="AH32" i="2" s="1"/>
  <c r="U32" i="2"/>
  <c r="T31" i="2" s="1"/>
  <c r="T32" i="2" s="1"/>
  <c r="T33" i="2" s="1"/>
  <c r="T34" i="2" s="1"/>
  <c r="T35" i="2" s="1"/>
  <c r="T36" i="2" s="1"/>
  <c r="T37" i="2" s="1"/>
  <c r="T38" i="2" s="1"/>
  <c r="T39" i="2" s="1"/>
  <c r="T40" i="2" s="1"/>
  <c r="T41" i="2" s="1"/>
  <c r="T42" i="2" s="1"/>
  <c r="T43" i="2" s="1"/>
  <c r="T44" i="2" s="1"/>
  <c r="T45" i="2" s="1"/>
  <c r="T46" i="2" s="1"/>
  <c r="T47" i="2" s="1"/>
  <c r="T48" i="2" s="1"/>
  <c r="T49" i="2" s="1"/>
  <c r="T50" i="2" s="1"/>
  <c r="T51" i="2" s="1"/>
  <c r="T52" i="2" s="1"/>
  <c r="T53" i="2" s="1"/>
  <c r="T54" i="2" s="1"/>
  <c r="P32" i="2"/>
  <c r="I32" i="2"/>
  <c r="F32" i="2"/>
  <c r="C32" i="2"/>
  <c r="AD31" i="2"/>
  <c r="AE31" i="2" s="1"/>
  <c r="AH31" i="2" s="1"/>
  <c r="P31" i="2"/>
  <c r="I31" i="2"/>
  <c r="F31" i="2"/>
  <c r="C31" i="2"/>
  <c r="AD30" i="2"/>
  <c r="AE30" i="2" s="1"/>
  <c r="AH30" i="2" s="1"/>
  <c r="P30" i="2"/>
  <c r="I30" i="2"/>
  <c r="F30" i="2"/>
  <c r="C30" i="2"/>
  <c r="AD29" i="2"/>
  <c r="AE29" i="2" s="1"/>
  <c r="AH29" i="2" s="1"/>
  <c r="P29" i="2"/>
  <c r="I29" i="2"/>
  <c r="F29" i="2"/>
  <c r="C29" i="2"/>
  <c r="AD28" i="2"/>
  <c r="AE28" i="2" s="1"/>
  <c r="AH28" i="2" s="1"/>
  <c r="P28" i="2"/>
  <c r="I28" i="2"/>
  <c r="F28" i="2"/>
  <c r="C28" i="2"/>
  <c r="AD27" i="2"/>
  <c r="AE27" i="2" s="1"/>
  <c r="AH27" i="2" s="1"/>
  <c r="P27" i="2"/>
  <c r="I27" i="2"/>
  <c r="F27" i="2"/>
  <c r="C27" i="2"/>
  <c r="AD26" i="2"/>
  <c r="AE26" i="2" s="1"/>
  <c r="AH26" i="2" s="1"/>
  <c r="P26" i="2"/>
  <c r="I26" i="2"/>
  <c r="F26" i="2"/>
  <c r="C26" i="2"/>
  <c r="AD25" i="2"/>
  <c r="AE25" i="2" s="1"/>
  <c r="AH25" i="2" s="1"/>
  <c r="P25" i="2"/>
  <c r="I25" i="2"/>
  <c r="F25" i="2"/>
  <c r="C25" i="2"/>
  <c r="AD24" i="2"/>
  <c r="AE24" i="2" s="1"/>
  <c r="AH24" i="2" s="1"/>
  <c r="P24" i="2"/>
  <c r="I24" i="2"/>
  <c r="F24" i="2"/>
  <c r="C24" i="2"/>
  <c r="AD23" i="2"/>
  <c r="AE23" i="2" s="1"/>
  <c r="AH23" i="2" s="1"/>
  <c r="P23" i="2"/>
  <c r="I23" i="2"/>
  <c r="F23" i="2"/>
  <c r="C23" i="2"/>
  <c r="AD22" i="2"/>
  <c r="AE22" i="2" s="1"/>
  <c r="AH22" i="2" s="1"/>
  <c r="P22" i="2"/>
  <c r="I22" i="2"/>
  <c r="F22" i="2"/>
  <c r="C22" i="2"/>
  <c r="AD21" i="2"/>
  <c r="AE21" i="2" s="1"/>
  <c r="AH21" i="2" s="1"/>
  <c r="P21" i="2"/>
  <c r="I21" i="2"/>
  <c r="F21" i="2"/>
  <c r="C21" i="2"/>
  <c r="AD20" i="2"/>
  <c r="AE20" i="2" s="1"/>
  <c r="AH20" i="2" s="1"/>
  <c r="P20" i="2"/>
  <c r="I20" i="2"/>
  <c r="F20" i="2"/>
  <c r="C20" i="2"/>
  <c r="AD19" i="2"/>
  <c r="AE19" i="2" s="1"/>
  <c r="AH19" i="2" s="1"/>
  <c r="P19" i="2"/>
  <c r="I19" i="2"/>
  <c r="F19" i="2"/>
  <c r="C19" i="2"/>
  <c r="AD18" i="2"/>
  <c r="AE18" i="2" s="1"/>
  <c r="AH18" i="2" s="1"/>
  <c r="P18" i="2"/>
  <c r="I18" i="2"/>
  <c r="F18" i="2"/>
  <c r="C18" i="2"/>
  <c r="AD17" i="2"/>
  <c r="AE17" i="2" s="1"/>
  <c r="AH17" i="2" s="1"/>
  <c r="P17" i="2"/>
  <c r="I17" i="2"/>
  <c r="F17" i="2"/>
  <c r="C17" i="2"/>
  <c r="AD16" i="2"/>
  <c r="AE16" i="2" s="1"/>
  <c r="AH16" i="2" s="1"/>
  <c r="P16" i="2"/>
  <c r="I16" i="2"/>
  <c r="F16" i="2"/>
  <c r="C16" i="2"/>
  <c r="AD15" i="2"/>
  <c r="AE15" i="2" s="1"/>
  <c r="AH15" i="2" s="1"/>
  <c r="P15" i="2"/>
  <c r="L15" i="2"/>
  <c r="I15" i="2"/>
  <c r="F15" i="2"/>
  <c r="C15" i="2"/>
  <c r="AD14" i="2"/>
  <c r="AE14" i="2" s="1"/>
  <c r="AH14" i="2" s="1"/>
  <c r="P14" i="2"/>
  <c r="L14" i="2"/>
  <c r="I14" i="2"/>
  <c r="F14" i="2"/>
  <c r="C14" i="2"/>
  <c r="AD13" i="2"/>
  <c r="AE13" i="2" s="1"/>
  <c r="AH13" i="2" s="1"/>
  <c r="P13" i="2"/>
  <c r="L13" i="2"/>
  <c r="I13" i="2"/>
  <c r="F13" i="2"/>
  <c r="C13" i="2"/>
  <c r="AD12" i="2"/>
  <c r="AE12" i="2" s="1"/>
  <c r="AH12" i="2" s="1"/>
  <c r="P12" i="2"/>
  <c r="L12" i="2"/>
  <c r="I12" i="2"/>
  <c r="F12" i="2"/>
  <c r="C12" i="2"/>
  <c r="P11" i="2"/>
  <c r="L11" i="2"/>
  <c r="I11" i="2"/>
  <c r="F11" i="2"/>
  <c r="C11" i="2"/>
  <c r="P10" i="2"/>
  <c r="L10" i="2"/>
  <c r="I10" i="2"/>
  <c r="F10" i="2"/>
  <c r="C10" i="2"/>
  <c r="P9" i="2"/>
  <c r="L9" i="2"/>
  <c r="I9" i="2"/>
  <c r="F9" i="2"/>
  <c r="C9" i="2"/>
  <c r="P8" i="2"/>
  <c r="L8" i="2"/>
  <c r="I8" i="2"/>
  <c r="F8" i="2"/>
  <c r="C8" i="2"/>
  <c r="P7" i="2"/>
  <c r="L7" i="2"/>
  <c r="I7" i="2"/>
  <c r="F7" i="2"/>
  <c r="C7" i="2"/>
  <c r="P6" i="2"/>
  <c r="L6" i="2"/>
  <c r="I6" i="2"/>
  <c r="F6" i="2"/>
  <c r="C6" i="2"/>
  <c r="AE5" i="2"/>
  <c r="U5" i="2"/>
  <c r="T6" i="2" s="1"/>
  <c r="T7" i="2" s="1"/>
  <c r="T8" i="2" s="1"/>
  <c r="T9" i="2" s="1"/>
  <c r="T10" i="2" s="1"/>
  <c r="T11" i="2" s="1"/>
  <c r="T12" i="2" s="1"/>
  <c r="T13" i="2" s="1"/>
  <c r="T14" i="2" s="1"/>
  <c r="T15" i="2" s="1"/>
  <c r="T16" i="2" s="1"/>
  <c r="T17" i="2" s="1"/>
  <c r="T18" i="2" s="1"/>
  <c r="T19" i="2" s="1"/>
  <c r="T20" i="2" s="1"/>
  <c r="T21" i="2" s="1"/>
  <c r="T22" i="2" s="1"/>
  <c r="T23" i="2" s="1"/>
  <c r="T24" i="2" s="1"/>
  <c r="T25" i="2" s="1"/>
  <c r="T26" i="2" s="1"/>
  <c r="T27" i="2" s="1"/>
  <c r="T28" i="2" s="1"/>
  <c r="T29" i="2" s="1"/>
  <c r="P5" i="2"/>
  <c r="L5" i="2"/>
  <c r="I5" i="2"/>
  <c r="F5" i="2"/>
  <c r="C5" i="2"/>
  <c r="AE4" i="2"/>
  <c r="AF45" i="2" s="1"/>
  <c r="D252" i="1"/>
  <c r="K82" i="1" l="1"/>
  <c r="AE79" i="2"/>
  <c r="AH79" i="2" s="1"/>
  <c r="Q222" i="1"/>
  <c r="Q223" i="1"/>
  <c r="AG109" i="2"/>
  <c r="AG107" i="2"/>
  <c r="AG105" i="2"/>
  <c r="AG104" i="2"/>
  <c r="AG102" i="2"/>
  <c r="AG100" i="2"/>
  <c r="AG98" i="2"/>
  <c r="AG96" i="2"/>
  <c r="AG94" i="2"/>
  <c r="AG92" i="2"/>
  <c r="AG90" i="2"/>
  <c r="AG88" i="2"/>
  <c r="AG86" i="2"/>
  <c r="AG84" i="2"/>
  <c r="AG82" i="2"/>
  <c r="AG78" i="2"/>
  <c r="AG76" i="2"/>
  <c r="AG111" i="2"/>
  <c r="AG110" i="2"/>
  <c r="AG108" i="2"/>
  <c r="AG106" i="2"/>
  <c r="AG103" i="2"/>
  <c r="AG101" i="2"/>
  <c r="AG99" i="2"/>
  <c r="AG97" i="2"/>
  <c r="AG95" i="2"/>
  <c r="AG93" i="2"/>
  <c r="AG91" i="2"/>
  <c r="AG89" i="2"/>
  <c r="AG87" i="2"/>
  <c r="AG85" i="2"/>
  <c r="AG83" i="2"/>
  <c r="AG81" i="2"/>
  <c r="AG80" i="2"/>
  <c r="AG74" i="2"/>
  <c r="AG72" i="2"/>
  <c r="AG70" i="2"/>
  <c r="AG68" i="2"/>
  <c r="AG66" i="2"/>
  <c r="AG64" i="2"/>
  <c r="AG62" i="2"/>
  <c r="AG60" i="2"/>
  <c r="AG58" i="2"/>
  <c r="AG55" i="2"/>
  <c r="AG54" i="2"/>
  <c r="AG52" i="2"/>
  <c r="AG50" i="2"/>
  <c r="AG48" i="2"/>
  <c r="AG77" i="2"/>
  <c r="AG75" i="2"/>
  <c r="AG73" i="2"/>
  <c r="AG71" i="2"/>
  <c r="AG69" i="2"/>
  <c r="AG67" i="2"/>
  <c r="AG65" i="2"/>
  <c r="AG63" i="2"/>
  <c r="AG61" i="2"/>
  <c r="AG59" i="2"/>
  <c r="AG57" i="2"/>
  <c r="AG56" i="2"/>
  <c r="AG53" i="2"/>
  <c r="AG51" i="2"/>
  <c r="AG49" i="2"/>
  <c r="AG47" i="2"/>
  <c r="AG45" i="2"/>
  <c r="AG43" i="2"/>
  <c r="AG12" i="2"/>
  <c r="AF13" i="2"/>
  <c r="AG14" i="2"/>
  <c r="AF15" i="2"/>
  <c r="AF16" i="2"/>
  <c r="AF17" i="2"/>
  <c r="AF18" i="2"/>
  <c r="AF19" i="2"/>
  <c r="AF20" i="2"/>
  <c r="AF21" i="2"/>
  <c r="AF22" i="2"/>
  <c r="AF23" i="2"/>
  <c r="AF24" i="2"/>
  <c r="AF25" i="2"/>
  <c r="AF26" i="2"/>
  <c r="AF27" i="2"/>
  <c r="AF28" i="2"/>
  <c r="AF29" i="2"/>
  <c r="AG30" i="2"/>
  <c r="AG31" i="2"/>
  <c r="AF32" i="2"/>
  <c r="AF33" i="2"/>
  <c r="AF34" i="2"/>
  <c r="AG35" i="2"/>
  <c r="AF36" i="2"/>
  <c r="AG37" i="2"/>
  <c r="AF38" i="2"/>
  <c r="AG39" i="2"/>
  <c r="AF40" i="2"/>
  <c r="AG41" i="2"/>
  <c r="AF42" i="2"/>
  <c r="AG46" i="2"/>
  <c r="AF111" i="2"/>
  <c r="D266" i="1" s="1"/>
  <c r="AF110" i="2"/>
  <c r="AF108" i="2"/>
  <c r="AF106" i="2"/>
  <c r="AF103" i="2"/>
  <c r="AF101" i="2"/>
  <c r="AF99" i="2"/>
  <c r="AF97" i="2"/>
  <c r="AF95" i="2"/>
  <c r="AF93" i="2"/>
  <c r="AF91" i="2"/>
  <c r="AF89" i="2"/>
  <c r="AF87" i="2"/>
  <c r="AF85" i="2"/>
  <c r="AF83" i="2"/>
  <c r="AF81" i="2"/>
  <c r="AF80" i="2"/>
  <c r="AF77" i="2"/>
  <c r="AF109" i="2"/>
  <c r="AF107" i="2"/>
  <c r="AF105" i="2"/>
  <c r="AF104" i="2"/>
  <c r="AF102" i="2"/>
  <c r="AF100" i="2"/>
  <c r="AF98" i="2"/>
  <c r="AF96" i="2"/>
  <c r="AF94" i="2"/>
  <c r="AF92" i="2"/>
  <c r="AF90" i="2"/>
  <c r="AF88" i="2"/>
  <c r="AF86" i="2"/>
  <c r="AF84" i="2"/>
  <c r="AF82" i="2"/>
  <c r="AF78" i="2"/>
  <c r="AF75" i="2"/>
  <c r="AF73" i="2"/>
  <c r="AF71" i="2"/>
  <c r="AF69" i="2"/>
  <c r="AF67" i="2"/>
  <c r="AF65" i="2"/>
  <c r="AF63" i="2"/>
  <c r="AF61" i="2"/>
  <c r="AF59" i="2"/>
  <c r="AF57" i="2"/>
  <c r="AF56" i="2"/>
  <c r="AF53" i="2"/>
  <c r="AF51" i="2"/>
  <c r="AF49" i="2"/>
  <c r="AF47" i="2"/>
  <c r="AF76" i="2"/>
  <c r="AF74" i="2"/>
  <c r="AF72" i="2"/>
  <c r="AF70" i="2"/>
  <c r="AF68" i="2"/>
  <c r="AF66" i="2"/>
  <c r="AF64" i="2"/>
  <c r="AF62" i="2"/>
  <c r="AF60" i="2"/>
  <c r="AF58" i="2"/>
  <c r="AF55" i="2"/>
  <c r="AF54" i="2"/>
  <c r="AF52" i="2"/>
  <c r="AF50" i="2"/>
  <c r="AF48" i="2"/>
  <c r="AF46" i="2"/>
  <c r="AF44" i="2"/>
  <c r="AF12" i="2"/>
  <c r="AG13" i="2"/>
  <c r="AF14" i="2"/>
  <c r="AG15" i="2"/>
  <c r="AG16" i="2"/>
  <c r="AG17" i="2"/>
  <c r="AG18" i="2"/>
  <c r="AG19" i="2"/>
  <c r="AG20" i="2"/>
  <c r="AG21" i="2"/>
  <c r="AG22" i="2"/>
  <c r="AG23" i="2"/>
  <c r="AG24" i="2"/>
  <c r="AG25" i="2"/>
  <c r="AG26" i="2"/>
  <c r="AG27" i="2"/>
  <c r="AG28" i="2"/>
  <c r="AG29" i="2"/>
  <c r="AF30" i="2"/>
  <c r="AF31" i="2"/>
  <c r="AG32" i="2"/>
  <c r="AG33" i="2"/>
  <c r="AG34" i="2"/>
  <c r="AF35" i="2"/>
  <c r="AG36" i="2"/>
  <c r="AF37" i="2"/>
  <c r="AG38" i="2"/>
  <c r="AF39" i="2"/>
  <c r="AG40" i="2"/>
  <c r="AF41" i="2"/>
  <c r="AG42" i="2"/>
  <c r="AF43" i="2"/>
  <c r="AG44" i="2"/>
  <c r="K205" i="1" l="1"/>
  <c r="K203" i="1"/>
  <c r="AG79" i="2"/>
  <c r="D270" i="1"/>
  <c r="K197" i="1" s="1"/>
  <c r="AF79" i="2"/>
  <c r="K212" i="1" l="1"/>
  <c r="K214" i="1" s="1"/>
  <c r="K216" i="1" s="1"/>
  <c r="J216" i="1" s="1"/>
  <c r="K222" i="1"/>
  <c r="D254" i="1" s="1"/>
  <c r="K220" i="1" l="1"/>
  <c r="E234" i="1" s="1"/>
  <c r="E237" i="1" s="1"/>
  <c r="D257" i="1"/>
  <c r="B224" i="1" l="1"/>
</calcChain>
</file>

<file path=xl/sharedStrings.xml><?xml version="1.0" encoding="utf-8"?>
<sst xmlns="http://schemas.openxmlformats.org/spreadsheetml/2006/main" count="379" uniqueCount="279">
  <si>
    <t>Name of Drainage Shed:</t>
  </si>
  <si>
    <t>Location of project:</t>
  </si>
  <si>
    <t>Sacramento</t>
  </si>
  <si>
    <t>acres</t>
  </si>
  <si>
    <t>A</t>
  </si>
  <si>
    <r>
      <t>A</t>
    </r>
    <r>
      <rPr>
        <vertAlign val="subscript"/>
        <sz val="12"/>
        <rFont val="Arial"/>
        <family val="2"/>
      </rPr>
      <t>OS</t>
    </r>
  </si>
  <si>
    <t>Area with Runoff Reduction Potential</t>
  </si>
  <si>
    <r>
      <t>A</t>
    </r>
    <r>
      <rPr>
        <vertAlign val="subscript"/>
        <sz val="12"/>
        <rFont val="Arial"/>
        <family val="2"/>
      </rPr>
      <t>T</t>
    </r>
  </si>
  <si>
    <t>I</t>
  </si>
  <si>
    <r>
      <t>Effective Area Managed (A</t>
    </r>
    <r>
      <rPr>
        <vertAlign val="subscript"/>
        <sz val="12"/>
        <rFont val="Arial"/>
        <family val="2"/>
      </rPr>
      <t>C</t>
    </r>
    <r>
      <rPr>
        <sz val="12"/>
        <rFont val="Arial"/>
        <family val="2"/>
      </rPr>
      <t>)</t>
    </r>
  </si>
  <si>
    <t xml:space="preserve">          (see Fact Sheet)</t>
  </si>
  <si>
    <t>Disconnected Roof Drains</t>
  </si>
  <si>
    <t>Interceptor Trees</t>
  </si>
  <si>
    <r>
      <t>A</t>
    </r>
    <r>
      <rPr>
        <vertAlign val="subscript"/>
        <sz val="12"/>
        <rFont val="Arial"/>
        <family val="2"/>
      </rPr>
      <t>C</t>
    </r>
  </si>
  <si>
    <r>
      <t>A</t>
    </r>
    <r>
      <rPr>
        <vertAlign val="subscript"/>
        <sz val="12"/>
        <rFont val="Arial"/>
        <family val="2"/>
      </rPr>
      <t>AT</t>
    </r>
  </si>
  <si>
    <r>
      <t>I</t>
    </r>
    <r>
      <rPr>
        <vertAlign val="subscript"/>
        <sz val="12"/>
        <rFont val="Tahoma"/>
        <family val="2"/>
      </rPr>
      <t>A</t>
    </r>
  </si>
  <si>
    <t xml:space="preserve">  </t>
  </si>
  <si>
    <t xml:space="preserve"> </t>
  </si>
  <si>
    <t>Efficiency Multiplier</t>
  </si>
  <si>
    <t>Box K1</t>
  </si>
  <si>
    <t>See Fact Sheet for more information regarding Interceptor Tree credit guidelines</t>
  </si>
  <si>
    <t>New Evergreen Trees</t>
  </si>
  <si>
    <t>1.  Enter number of new evergreen trees that qualify as Interceptor Trees in Box L1.</t>
  </si>
  <si>
    <t>trees</t>
  </si>
  <si>
    <t>Box L1</t>
  </si>
  <si>
    <t>2.  Multiply Box L1 by 200 and enter result in  Box L2</t>
  </si>
  <si>
    <t xml:space="preserve">sq. ft. </t>
  </si>
  <si>
    <t>Box L2</t>
  </si>
  <si>
    <t>New Deciduous Trees</t>
  </si>
  <si>
    <t>3.  Enter number of new deciduous trees that qualify as Interceptor Trees in Box L3.</t>
  </si>
  <si>
    <t>Box L3</t>
  </si>
  <si>
    <t>4.  Multiply Box L3 by 100 and enter result in Box L4</t>
  </si>
  <si>
    <t>Box L4</t>
  </si>
  <si>
    <t>Existing Tree Canopy</t>
  </si>
  <si>
    <t>5.  Enter square footage of existing tree canopy that qualifies as Existing Tree canopy in Box L5.</t>
  </si>
  <si>
    <t>Box L5</t>
  </si>
  <si>
    <t>6.  Multiply Box L5 by 0.5 and enter the result in Box L6</t>
  </si>
  <si>
    <t>Box L6</t>
  </si>
  <si>
    <t>Add Boxes L2, L4, and L6 and enter it into Box L7</t>
  </si>
  <si>
    <t>Box L7</t>
  </si>
  <si>
    <t>Box L8</t>
  </si>
  <si>
    <t>Calculate treatment flow (cfs):</t>
  </si>
  <si>
    <t>i</t>
  </si>
  <si>
    <t xml:space="preserve"> Rainfall Intensity</t>
  </si>
  <si>
    <t>Roseville</t>
  </si>
  <si>
    <t>i =</t>
  </si>
  <si>
    <t>Folsom</t>
  </si>
  <si>
    <t>C</t>
  </si>
  <si>
    <t>cfs</t>
  </si>
  <si>
    <t>Acre-Feet</t>
  </si>
  <si>
    <t>Calculate water quality volume (Acre-Feet):</t>
  </si>
  <si>
    <r>
      <t>WQV = Area x Maximized Detention Volume (P</t>
    </r>
    <r>
      <rPr>
        <vertAlign val="subscript"/>
        <sz val="12"/>
        <rFont val="Arial"/>
        <family val="2"/>
      </rPr>
      <t>0</t>
    </r>
    <r>
      <rPr>
        <sz val="12"/>
        <rFont val="Arial"/>
        <family val="2"/>
      </rPr>
      <t>)</t>
    </r>
  </si>
  <si>
    <t>Obtain A from Step 1</t>
  </si>
  <si>
    <t>hrs</t>
  </si>
  <si>
    <t>Specified Draw Down time</t>
  </si>
  <si>
    <r>
      <t>P</t>
    </r>
    <r>
      <rPr>
        <vertAlign val="subscript"/>
        <sz val="12"/>
        <rFont val="Arial"/>
        <family val="2"/>
      </rPr>
      <t>0</t>
    </r>
  </si>
  <si>
    <t>Calculate treatment volume (acre-ft):</t>
  </si>
  <si>
    <r>
      <t>Treatment volume = A</t>
    </r>
    <r>
      <rPr>
        <b/>
        <sz val="12"/>
        <rFont val="Arial"/>
        <family val="2"/>
      </rPr>
      <t xml:space="preserve"> x (P</t>
    </r>
    <r>
      <rPr>
        <b/>
        <vertAlign val="subscript"/>
        <sz val="12"/>
        <rFont val="Arial"/>
        <family val="2"/>
      </rPr>
      <t>0</t>
    </r>
    <r>
      <rPr>
        <b/>
        <sz val="12"/>
        <rFont val="Arial"/>
        <family val="2"/>
      </rPr>
      <t xml:space="preserve"> / 12)</t>
    </r>
  </si>
  <si>
    <t>TABLE D-2d</t>
  </si>
  <si>
    <t>Adjusted Runoff Coefficient (CASQA)</t>
  </si>
  <si>
    <t>For look up table</t>
  </si>
  <si>
    <t>Info for ASCE WEF method to determine P0</t>
  </si>
  <si>
    <t>Drawdown times (hours)</t>
  </si>
  <si>
    <t>Table for CASQA unit basin storage vs capture runoff at 80%</t>
  </si>
  <si>
    <r>
      <t>I</t>
    </r>
    <r>
      <rPr>
        <b/>
        <vertAlign val="subscript"/>
        <sz val="14"/>
        <rFont val="Tahoma"/>
        <family val="2"/>
      </rPr>
      <t>A</t>
    </r>
  </si>
  <si>
    <r>
      <t>C</t>
    </r>
    <r>
      <rPr>
        <b/>
        <vertAlign val="subscript"/>
        <sz val="14"/>
        <rFont val="Tahoma"/>
        <family val="2"/>
      </rPr>
      <t>A</t>
    </r>
  </si>
  <si>
    <t>Runoff Coeff</t>
  </si>
  <si>
    <t>Basin Storage Vol (in)</t>
  </si>
  <si>
    <r>
      <t>a</t>
    </r>
    <r>
      <rPr>
        <vertAlign val="subscript"/>
        <sz val="14"/>
        <color indexed="62"/>
        <rFont val="Arial"/>
        <family val="2"/>
      </rPr>
      <t>12</t>
    </r>
  </si>
  <si>
    <r>
      <t>a</t>
    </r>
    <r>
      <rPr>
        <vertAlign val="subscript"/>
        <sz val="14"/>
        <color indexed="62"/>
        <rFont val="Arial"/>
        <family val="2"/>
      </rPr>
      <t>24</t>
    </r>
  </si>
  <si>
    <r>
      <t>a</t>
    </r>
    <r>
      <rPr>
        <vertAlign val="subscript"/>
        <sz val="14"/>
        <color indexed="62"/>
        <rFont val="Arial"/>
        <family val="2"/>
      </rPr>
      <t>48</t>
    </r>
  </si>
  <si>
    <r>
      <t>P</t>
    </r>
    <r>
      <rPr>
        <vertAlign val="subscript"/>
        <sz val="14"/>
        <color indexed="62"/>
        <rFont val="Arial"/>
        <family val="2"/>
      </rPr>
      <t>6</t>
    </r>
  </si>
  <si>
    <t>percent</t>
  </si>
  <si>
    <t>c</t>
  </si>
  <si>
    <r>
      <t>P</t>
    </r>
    <r>
      <rPr>
        <b/>
        <vertAlign val="subscript"/>
        <sz val="14"/>
        <rFont val="Arial"/>
        <family val="2"/>
      </rPr>
      <t>12</t>
    </r>
  </si>
  <si>
    <r>
      <t>P</t>
    </r>
    <r>
      <rPr>
        <b/>
        <vertAlign val="subscript"/>
        <sz val="14"/>
        <rFont val="Arial"/>
        <family val="2"/>
      </rPr>
      <t>24</t>
    </r>
  </si>
  <si>
    <r>
      <t>P</t>
    </r>
    <r>
      <rPr>
        <b/>
        <vertAlign val="subscript"/>
        <sz val="14"/>
        <rFont val="Arial"/>
        <family val="2"/>
      </rPr>
      <t>48</t>
    </r>
  </si>
  <si>
    <t>assume linear change between the two adjacent points</t>
  </si>
  <si>
    <t>change between the two pts</t>
  </si>
  <si>
    <t>pts</t>
  </si>
  <si>
    <r>
      <t>(A</t>
    </r>
    <r>
      <rPr>
        <vertAlign val="subscript"/>
        <sz val="12"/>
        <rFont val="Arial"/>
        <family val="2"/>
      </rPr>
      <t>C</t>
    </r>
    <r>
      <rPr>
        <sz val="12"/>
        <rFont val="Arial"/>
        <family val="2"/>
      </rPr>
      <t xml:space="preserve"> / A</t>
    </r>
    <r>
      <rPr>
        <vertAlign val="subscript"/>
        <sz val="12"/>
        <rFont val="Arial"/>
        <family val="2"/>
      </rPr>
      <t>T</t>
    </r>
    <r>
      <rPr>
        <sz val="12"/>
        <rFont val="Arial"/>
        <family val="2"/>
      </rPr>
      <t xml:space="preserve"> )*100 = </t>
    </r>
  </si>
  <si>
    <r>
      <t>A</t>
    </r>
    <r>
      <rPr>
        <vertAlign val="subscript"/>
        <sz val="12"/>
        <rFont val="Arial"/>
        <family val="2"/>
      </rPr>
      <t>LIDc</t>
    </r>
  </si>
  <si>
    <t xml:space="preserve">a. Natural storage reservoirs and drainage corridors </t>
  </si>
  <si>
    <t xml:space="preserve">b. Buffer zones for natural water bodies </t>
  </si>
  <si>
    <t>Runoff Reduction Credit (Step 2)</t>
  </si>
  <si>
    <t>Step 4b  Treatment - Volume-Based (ASCE-WEF)</t>
  </si>
  <si>
    <r>
      <t>A</t>
    </r>
    <r>
      <rPr>
        <vertAlign val="subscript"/>
        <sz val="12"/>
        <rFont val="Arial"/>
        <family val="2"/>
      </rPr>
      <t>T</t>
    </r>
    <r>
      <rPr>
        <sz val="12"/>
        <rFont val="Arial"/>
        <family val="2"/>
      </rPr>
      <t xml:space="preserve"> - A</t>
    </r>
    <r>
      <rPr>
        <vertAlign val="subscript"/>
        <sz val="12"/>
        <rFont val="Arial"/>
        <family val="2"/>
      </rPr>
      <t>C</t>
    </r>
    <r>
      <rPr>
        <sz val="12"/>
        <rFont val="Arial"/>
        <family val="2"/>
      </rPr>
      <t xml:space="preserve"> -A</t>
    </r>
    <r>
      <rPr>
        <vertAlign val="subscript"/>
        <sz val="12"/>
        <rFont val="Arial"/>
        <family val="2"/>
      </rPr>
      <t>LIDC</t>
    </r>
    <r>
      <rPr>
        <sz val="12"/>
        <rFont val="Arial"/>
        <family val="2"/>
      </rPr>
      <t xml:space="preserve"> =  </t>
    </r>
  </si>
  <si>
    <t>Total LID Credits (Step 1+2+3)</t>
  </si>
  <si>
    <t>1 a.  Common Drainage Plan Area</t>
  </si>
  <si>
    <t xml:space="preserve">Is your project within the drainage area of a common drainage plan that includes open space?  If not, skip to 1 b.  </t>
  </si>
  <si>
    <t>in</t>
  </si>
  <si>
    <t>enter gallons, for simple rain barrels</t>
  </si>
  <si>
    <t>Bioretention/Infiltration Credits</t>
  </si>
  <si>
    <t>Step 3 - Runoff Management Credits</t>
  </si>
  <si>
    <t>c. Natural areas including existing trees, other vegetation, and soil</t>
  </si>
  <si>
    <t>emptied per year</t>
  </si>
  <si>
    <t>inches</t>
  </si>
  <si>
    <t>Annual Rainfall Depth / emptying frequency</t>
  </si>
  <si>
    <t>ARDperEF</t>
  </si>
  <si>
    <t>Back-calculate Impervious Area Treated by Infiltration BMP</t>
  </si>
  <si>
    <t>Imperviousness</t>
  </si>
  <si>
    <t>Capture Volume, acre-ft</t>
  </si>
  <si>
    <t>Drawdown Time, hrs</t>
  </si>
  <si>
    <t>drawdown_hrs_inf</t>
  </si>
  <si>
    <t>capture_vol_inf</t>
  </si>
  <si>
    <t>Rain Barrel Credit</t>
  </si>
  <si>
    <t>Ponding Depth, inches</t>
  </si>
  <si>
    <t xml:space="preserve">          (see Fact Sheet, then enter impervious area managed by the system)</t>
  </si>
  <si>
    <t xml:space="preserve">    Impervious Area Managed by Rain barrels, Cisterns, and automatically-emptied systems</t>
  </si>
  <si>
    <t xml:space="preserve">    Automated-Control Capture and Use System </t>
  </si>
  <si>
    <t xml:space="preserve">    Impervious Area Managed by Bioretention BMPs</t>
  </si>
  <si>
    <t xml:space="preserve">    Impervious Area Managed by Infiltration BMPs </t>
  </si>
  <si>
    <t xml:space="preserve">    Impervious Area Managed by Amended Soil or Mulch Beds</t>
  </si>
  <si>
    <t>Capture and Use Credits</t>
  </si>
  <si>
    <t>sq ft</t>
  </si>
  <si>
    <t>Bioretention Area</t>
  </si>
  <si>
    <t xml:space="preserve">see area example below </t>
  </si>
  <si>
    <t>Common Drainage Plan Open Space (Off-project)</t>
  </si>
  <si>
    <t>d. Common landscape area/park</t>
  </si>
  <si>
    <t>e. Regional Flood Control/Drainage basins</t>
  </si>
  <si>
    <t>d. Landscape area/park</t>
  </si>
  <si>
    <t>e. Flood Control/Drainage basins</t>
  </si>
  <si>
    <t>1 b. Project Drainage Shed Area (Total)</t>
  </si>
  <si>
    <r>
      <t>A</t>
    </r>
    <r>
      <rPr>
        <vertAlign val="subscript"/>
        <sz val="12"/>
        <rFont val="Arial"/>
        <family val="2"/>
      </rPr>
      <t>CDP</t>
    </r>
  </si>
  <si>
    <t>Step 1 - Open Space and Pervious Area Credits</t>
  </si>
  <si>
    <t>Total Effective Area Managed by Capture-and-Use/Bioretention/Infiltration BMPs</t>
  </si>
  <si>
    <t>Open Space &amp; Pervious Area LID Credit (Step 1)</t>
  </si>
  <si>
    <t>Mulched Infiltration Area, sq ft</t>
  </si>
  <si>
    <t>mulch_area</t>
  </si>
  <si>
    <r>
      <t>Obtain P</t>
    </r>
    <r>
      <rPr>
        <vertAlign val="subscript"/>
        <sz val="12"/>
        <rFont val="Arial"/>
        <family val="2"/>
      </rPr>
      <t>0</t>
    </r>
    <r>
      <rPr>
        <sz val="12"/>
        <rFont val="Arial"/>
        <family val="2"/>
      </rPr>
      <t>: Maximized Detention Volume from Figures E-1 in Appendix E of this manual using I=1.0 and drawdown time=12 hrs.</t>
    </r>
  </si>
  <si>
    <r>
      <t>A</t>
    </r>
    <r>
      <rPr>
        <vertAlign val="subscript"/>
        <sz val="12"/>
        <rFont val="Arial"/>
        <family val="2"/>
      </rPr>
      <t>PSOS</t>
    </r>
  </si>
  <si>
    <r>
      <t>(A</t>
    </r>
    <r>
      <rPr>
        <vertAlign val="subscript"/>
        <sz val="12"/>
        <rFont val="Arial"/>
        <family val="2"/>
      </rPr>
      <t>OS</t>
    </r>
    <r>
      <rPr>
        <sz val="12"/>
        <rFont val="Arial"/>
        <family val="2"/>
      </rPr>
      <t>/A</t>
    </r>
    <r>
      <rPr>
        <vertAlign val="subscript"/>
        <sz val="12"/>
        <rFont val="Arial"/>
        <family val="2"/>
      </rPr>
      <t>CDP</t>
    </r>
    <r>
      <rPr>
        <sz val="12"/>
        <rFont val="Arial"/>
        <family val="2"/>
      </rPr>
      <t>+A</t>
    </r>
    <r>
      <rPr>
        <vertAlign val="subscript"/>
        <sz val="12"/>
        <rFont val="Arial"/>
        <family val="2"/>
      </rPr>
      <t>PSOS</t>
    </r>
    <r>
      <rPr>
        <sz val="12"/>
        <rFont val="Arial"/>
        <family val="2"/>
      </rPr>
      <t>/A)x100 =</t>
    </r>
  </si>
  <si>
    <r>
      <t>A - A</t>
    </r>
    <r>
      <rPr>
        <vertAlign val="subscript"/>
        <sz val="12"/>
        <rFont val="Arial"/>
        <family val="2"/>
      </rPr>
      <t xml:space="preserve">PSOS </t>
    </r>
    <r>
      <rPr>
        <sz val="12"/>
        <rFont val="Arial"/>
        <family val="2"/>
      </rPr>
      <t>=</t>
    </r>
  </si>
  <si>
    <t>Back-calculating impervious areas using WEF/ASCE so I=1 the following calculations for infiltration BMPs and bioretention/planter box BMPs.</t>
  </si>
  <si>
    <t>Back-calculate Impervious Area Treated by Bioretention/Planter Boxes</t>
  </si>
  <si>
    <r>
      <t>Obtain P</t>
    </r>
    <r>
      <rPr>
        <vertAlign val="subscript"/>
        <sz val="12"/>
        <rFont val="Arial"/>
        <family val="2"/>
      </rPr>
      <t>0</t>
    </r>
    <r>
      <rPr>
        <sz val="12"/>
        <rFont val="Arial"/>
        <family val="2"/>
      </rPr>
      <t>: Maximized Detention Volume from Figures E-1 to E-4 in Appendix E of this manual using I=1 and drawdown time selected in Step 3 above.</t>
    </r>
  </si>
  <si>
    <r>
      <t>Number of Units in A</t>
    </r>
    <r>
      <rPr>
        <b/>
        <vertAlign val="subscript"/>
        <sz val="12"/>
        <rFont val="Arial"/>
        <family val="2"/>
      </rPr>
      <t>T</t>
    </r>
  </si>
  <si>
    <r>
      <t>Number of units per acre in A</t>
    </r>
    <r>
      <rPr>
        <b/>
        <vertAlign val="subscript"/>
        <sz val="12"/>
        <rFont val="Arial"/>
        <family val="2"/>
      </rPr>
      <t>T</t>
    </r>
  </si>
  <si>
    <r>
      <t>DU/A</t>
    </r>
    <r>
      <rPr>
        <vertAlign val="subscript"/>
        <sz val="12"/>
        <rFont val="Arial"/>
        <family val="2"/>
      </rPr>
      <t>T</t>
    </r>
    <r>
      <rPr>
        <sz val="12"/>
        <rFont val="Arial"/>
        <family val="2"/>
      </rPr>
      <t xml:space="preserve"> =</t>
    </r>
  </si>
  <si>
    <t>Dwelling units per acre</t>
  </si>
  <si>
    <t>Runoff Reduction Measures</t>
  </si>
  <si>
    <t>use Form D-1a for credits</t>
  </si>
  <si>
    <t xml:space="preserve">     (see Fact Sheet)</t>
  </si>
  <si>
    <t>Disconnected Pavement</t>
  </si>
  <si>
    <t>use Form D-1b for credits</t>
  </si>
  <si>
    <t>use Form D-1c for credits</t>
  </si>
  <si>
    <t>Alternative Driveway Design</t>
  </si>
  <si>
    <t>use Form D-1d for credits</t>
  </si>
  <si>
    <t>Total Effective Area Managed (Credit Area)</t>
  </si>
  <si>
    <t>Form D-1a:  Disconnected Roof Drains Worksheet</t>
  </si>
  <si>
    <t>See Fact Sheet for more information regarding Disconnected Roof Drain credit guidelines</t>
  </si>
  <si>
    <r>
      <t>Effective Area Managed (A</t>
    </r>
    <r>
      <rPr>
        <vertAlign val="subscript"/>
        <sz val="11"/>
        <rFont val="Arial"/>
        <family val="2"/>
      </rPr>
      <t>C</t>
    </r>
    <r>
      <rPr>
        <sz val="11"/>
        <rFont val="Arial"/>
        <family val="2"/>
      </rPr>
      <t>)</t>
    </r>
  </si>
  <si>
    <t>1.  Determine efficiency Multiplier</t>
  </si>
  <si>
    <t>Runoff is directed to a dispersal trench or dry well</t>
  </si>
  <si>
    <t>(Type A and B soils only)</t>
  </si>
  <si>
    <t>Runoff is directed across landscaping, determine setback</t>
  </si>
  <si>
    <t>25 ft +</t>
  </si>
  <si>
    <t>Use multiplier of</t>
  </si>
  <si>
    <r>
      <t>&gt;</t>
    </r>
    <r>
      <rPr>
        <sz val="12"/>
        <rFont val="Arial"/>
        <family val="2"/>
      </rPr>
      <t xml:space="preserve"> 20 and &lt; 25 ft</t>
    </r>
  </si>
  <si>
    <r>
      <t>&gt;</t>
    </r>
    <r>
      <rPr>
        <sz val="12"/>
        <rFont val="Arial"/>
        <family val="2"/>
      </rPr>
      <t xml:space="preserve"> 15 and &lt; 20 ft</t>
    </r>
  </si>
  <si>
    <r>
      <t>&gt;</t>
    </r>
    <r>
      <rPr>
        <sz val="12"/>
        <rFont val="Arial"/>
        <family val="2"/>
      </rPr>
      <t xml:space="preserve"> 10 and &lt; 15 ft</t>
    </r>
  </si>
  <si>
    <r>
      <t>&gt;</t>
    </r>
    <r>
      <rPr>
        <sz val="12"/>
        <rFont val="Arial"/>
        <family val="2"/>
      </rPr>
      <t xml:space="preserve"> 5 and &lt; 10 ft</t>
    </r>
  </si>
  <si>
    <t>Box J1</t>
  </si>
  <si>
    <t>2.  Determine percentage of roof drains disconnected</t>
  </si>
  <si>
    <t>Box J2</t>
  </si>
  <si>
    <t>3.   Select project density in dwelling units per acre:</t>
  </si>
  <si>
    <t>1             Use reduction factor of</t>
  </si>
  <si>
    <t>2            Use reduction factor of</t>
  </si>
  <si>
    <t>3,4         Use reduction factor of</t>
  </si>
  <si>
    <t>5,6         Use reduction factor of</t>
  </si>
  <si>
    <t>7            Use reduction factor of</t>
  </si>
  <si>
    <t>8,9         Use reduction factor of</t>
  </si>
  <si>
    <t>10-14      Use reduction factor of</t>
  </si>
  <si>
    <t>15-20     Use reduction factor of</t>
  </si>
  <si>
    <t>Reduction Factor</t>
  </si>
  <si>
    <t>Box J3</t>
  </si>
  <si>
    <t>4.   Determine Area Managed</t>
  </si>
  <si>
    <r>
      <t>Multiply Box J3 by A</t>
    </r>
    <r>
      <rPr>
        <vertAlign val="subscript"/>
        <sz val="12"/>
        <rFont val="Arial"/>
        <family val="2"/>
      </rPr>
      <t>T</t>
    </r>
    <r>
      <rPr>
        <sz val="12"/>
        <rFont val="Arial"/>
        <family val="2"/>
      </rPr>
      <t>, and enter the result in Box J4</t>
    </r>
  </si>
  <si>
    <t>Box J4</t>
  </si>
  <si>
    <t>Box J</t>
  </si>
  <si>
    <t>This is the amount of area credit to enter into the "Disconnected Roof Drains" Box of Form D-1</t>
  </si>
  <si>
    <t>Form D-1b:  Disconnected Pavement Worksheet</t>
  </si>
  <si>
    <t>See Fact Sheet for more information regarding NDC Pavement credit guidelines</t>
  </si>
  <si>
    <t>Divided Sidewalks</t>
  </si>
  <si>
    <t>1.  Determine percentage of units with divided Sidewalks</t>
  </si>
  <si>
    <t>Box K</t>
  </si>
  <si>
    <t>This is the amount of area credit to enter into the "Disconnected Pavement" Box of Form D-1</t>
  </si>
  <si>
    <t>Form D-1c:  Interceptor Tree Worksheet</t>
  </si>
  <si>
    <t>Total Interceptor Tree Credits</t>
  </si>
  <si>
    <t>This is the amount of area credit to enter into the "Interceptor Trees" Box of Form D-1</t>
  </si>
  <si>
    <t>Form D-1d: Alternative Driveway Design</t>
  </si>
  <si>
    <t>See Fact Sheet for more information regarding Alternative Driveway Design credit guidelines</t>
  </si>
  <si>
    <t>1. Select type of driveway</t>
  </si>
  <si>
    <t>Pervious Driveway:</t>
  </si>
  <si>
    <t>Multiplier:</t>
  </si>
  <si>
    <t xml:space="preserve">     Cobblestone Block Porous Pavement </t>
  </si>
  <si>
    <t xml:space="preserve">     Pervious Concrete/Asphalt Pavement </t>
  </si>
  <si>
    <t xml:space="preserve">     Modular Block Porous Pavement 
     Porous Gravel Pavement &amp; 
Hollywood Driveway</t>
  </si>
  <si>
    <t>Not Directly-connected Driveway</t>
  </si>
  <si>
    <t>Box M1</t>
  </si>
  <si>
    <t>2. Determine percentage of units with Alternative Driveways:</t>
  </si>
  <si>
    <t>Box M2</t>
  </si>
  <si>
    <r>
      <t>4.  Multiply Boxes M1, M2, A</t>
    </r>
    <r>
      <rPr>
        <vertAlign val="subscript"/>
        <sz val="12"/>
        <rFont val="Arial"/>
        <family val="2"/>
      </rPr>
      <t>T</t>
    </r>
    <r>
      <rPr>
        <sz val="12"/>
        <rFont val="Arial"/>
        <family val="2"/>
      </rPr>
      <t xml:space="preserve"> and 0.04, and enter the result in Box M</t>
    </r>
  </si>
  <si>
    <t>Box M</t>
  </si>
  <si>
    <t>This is the amount of area credit to enter into the "Alternative Driveway Design" Box of Form D-1</t>
  </si>
  <si>
    <t>Flow = Runoff Coefficient x Rainfall Intensity x Adjusted Treatment Area</t>
  </si>
  <si>
    <t>Determine C Factor using Table D-1b</t>
  </si>
  <si>
    <t>Determine i using Table D-1c (Rainfall Intensity)</t>
  </si>
  <si>
    <t xml:space="preserve">i </t>
  </si>
  <si>
    <r>
      <t>A</t>
    </r>
    <r>
      <rPr>
        <vertAlign val="subscript"/>
        <sz val="12"/>
        <rFont val="Arial"/>
        <family val="2"/>
      </rPr>
      <t>AT</t>
    </r>
    <r>
      <rPr>
        <sz val="12"/>
        <rFont val="Arial"/>
        <family val="2"/>
      </rPr>
      <t xml:space="preserve"> from Step 2</t>
    </r>
  </si>
  <si>
    <r>
      <t>Flow = C * i * A</t>
    </r>
    <r>
      <rPr>
        <b/>
        <vertAlign val="subscript"/>
        <sz val="12"/>
        <rFont val="Arial"/>
        <family val="2"/>
      </rPr>
      <t>AT</t>
    </r>
  </si>
  <si>
    <t>TABLE D-1b</t>
  </si>
  <si>
    <t>Table D-1c</t>
  </si>
  <si>
    <t>Runoff Coefficient (Rational), C</t>
  </si>
  <si>
    <t>Single-family areas</t>
  </si>
  <si>
    <t xml:space="preserve"> in/hr</t>
  </si>
  <si>
    <t>Multi-units, detached</t>
  </si>
  <si>
    <t>Apartment dwelling areas</t>
  </si>
  <si>
    <t>Multi-units, attached</t>
  </si>
  <si>
    <t>User Specified</t>
  </si>
  <si>
    <t>Table 6-1a</t>
  </si>
  <si>
    <t>Rooftop percecntages by DU/A</t>
  </si>
  <si>
    <t>imperviousness</t>
  </si>
  <si>
    <r>
      <t>a</t>
    </r>
    <r>
      <rPr>
        <vertAlign val="subscript"/>
        <sz val="10"/>
        <color indexed="62"/>
        <rFont val="Arial"/>
        <family val="2"/>
      </rPr>
      <t>12</t>
    </r>
  </si>
  <si>
    <r>
      <t>a</t>
    </r>
    <r>
      <rPr>
        <vertAlign val="subscript"/>
        <sz val="10"/>
        <color indexed="62"/>
        <rFont val="Arial"/>
        <family val="2"/>
      </rPr>
      <t>24</t>
    </r>
  </si>
  <si>
    <r>
      <t>a</t>
    </r>
    <r>
      <rPr>
        <vertAlign val="subscript"/>
        <sz val="10"/>
        <color indexed="62"/>
        <rFont val="Arial"/>
        <family val="2"/>
      </rPr>
      <t>48</t>
    </r>
  </si>
  <si>
    <r>
      <t>P</t>
    </r>
    <r>
      <rPr>
        <vertAlign val="subscript"/>
        <sz val="10"/>
        <color indexed="62"/>
        <rFont val="Arial"/>
        <family val="2"/>
      </rPr>
      <t>6</t>
    </r>
  </si>
  <si>
    <r>
      <t>P</t>
    </r>
    <r>
      <rPr>
        <b/>
        <vertAlign val="subscript"/>
        <sz val="10"/>
        <rFont val="Arial"/>
        <family val="2"/>
      </rPr>
      <t>12</t>
    </r>
  </si>
  <si>
    <r>
      <t>P</t>
    </r>
    <r>
      <rPr>
        <b/>
        <vertAlign val="subscript"/>
        <sz val="10"/>
        <rFont val="Arial"/>
        <family val="2"/>
      </rPr>
      <t>24</t>
    </r>
  </si>
  <si>
    <r>
      <t>P</t>
    </r>
    <r>
      <rPr>
        <b/>
        <vertAlign val="subscript"/>
        <sz val="10"/>
        <rFont val="Arial"/>
        <family val="2"/>
      </rPr>
      <t>48</t>
    </r>
  </si>
  <si>
    <t>Driveway percentages by DU/A</t>
  </si>
  <si>
    <t>Table 6-1b</t>
  </si>
  <si>
    <t>Runoff Coefficient</t>
  </si>
  <si>
    <t>10</t>
  </si>
  <si>
    <t>Form D-1e</t>
  </si>
  <si>
    <t>DU/A</t>
  </si>
  <si>
    <t>reduction factor</t>
  </si>
  <si>
    <r>
      <t>(A</t>
    </r>
    <r>
      <rPr>
        <vertAlign val="subscript"/>
        <sz val="12"/>
        <rFont val="Arial"/>
        <family val="2"/>
      </rPr>
      <t>T</t>
    </r>
    <r>
      <rPr>
        <sz val="12"/>
        <rFont val="Arial"/>
        <family val="2"/>
      </rPr>
      <t>*I-A</t>
    </r>
    <r>
      <rPr>
        <vertAlign val="subscript"/>
        <sz val="12"/>
        <rFont val="Arial"/>
        <family val="2"/>
      </rPr>
      <t>C</t>
    </r>
    <r>
      <rPr>
        <sz val="12"/>
        <rFont val="Arial"/>
        <family val="2"/>
      </rPr>
      <t>-A</t>
    </r>
    <r>
      <rPr>
        <vertAlign val="subscript"/>
        <sz val="12"/>
        <rFont val="Arial"/>
        <family val="2"/>
      </rPr>
      <t>LIDC</t>
    </r>
    <r>
      <rPr>
        <sz val="12"/>
        <rFont val="Arial"/>
        <family val="2"/>
      </rPr>
      <t>) / A =</t>
    </r>
  </si>
  <si>
    <t>Adjusted Area for Flow-Based, Non-LID Treatment</t>
  </si>
  <si>
    <t>Adjusted Impervious Fraction of A for Volume-Based, Non-LID Treatment</t>
  </si>
  <si>
    <t>Step 4a  Treatment - Flow-Based (Rational Method)</t>
  </si>
  <si>
    <t>Project-Specific Open Space (In-project, communal**)</t>
  </si>
  <si>
    <t xml:space="preserve">      (determined using Table D-1a)</t>
  </si>
  <si>
    <r>
      <t>Assumed Initial Impervious Fraction of A</t>
    </r>
    <r>
      <rPr>
        <b/>
        <vertAlign val="subscript"/>
        <sz val="12"/>
        <rFont val="Arial"/>
        <family val="2"/>
      </rPr>
      <t>T</t>
    </r>
  </si>
  <si>
    <t>DUA</t>
  </si>
  <si>
    <t>I, initial imperviousness (from Step 1)</t>
  </si>
  <si>
    <t>Development Type</t>
  </si>
  <si>
    <r>
      <t xml:space="preserve">Does project require hydromodification management?  If yes, proceed to using SacHM.
Is LID pts </t>
    </r>
    <r>
      <rPr>
        <b/>
        <sz val="12"/>
        <rFont val="Calibri"/>
        <family val="2"/>
      </rPr>
      <t>≥</t>
    </r>
    <r>
      <rPr>
        <b/>
        <sz val="10.199999999999999"/>
        <rFont val="Arial"/>
        <family val="2"/>
      </rPr>
      <t xml:space="preserve"> 100?  If yes, proceed to step 4.  If not, iterate through steps 1 &amp; 2 until pts  ≥ 100.</t>
    </r>
  </si>
  <si>
    <t>Fill in Blue Highlighted boxes</t>
  </si>
  <si>
    <t>Step 2 - Runoff Reduction Credits</t>
  </si>
  <si>
    <t>bc</t>
  </si>
  <si>
    <t>match 'runoff reduction' termininology with commercial</t>
  </si>
  <si>
    <t>Soil Infiltration Rate, in/hr</t>
  </si>
  <si>
    <t>soil_inf_rate</t>
  </si>
  <si>
    <t>soil_surface_area</t>
  </si>
  <si>
    <t>Infiltration BMP surface area, sq ft</t>
  </si>
  <si>
    <t>inf_rainfall_design_depth</t>
  </si>
  <si>
    <t>bio_rainfall_design_depth</t>
  </si>
  <si>
    <t>Basin or trench?</t>
  </si>
  <si>
    <t>Basin</t>
  </si>
  <si>
    <t>Trench</t>
  </si>
  <si>
    <t>ft</t>
  </si>
  <si>
    <t>approximate BMP depth</t>
  </si>
  <si>
    <t>Sizing Option 1:</t>
  </si>
  <si>
    <t>Sizing Option 2:</t>
  </si>
  <si>
    <t>fixed description of on-project open space (moved 'communal' space to D-1a)</t>
  </si>
  <si>
    <t>Added options for infiltration basin and trench sizing</t>
  </si>
  <si>
    <t>** Doesn't include impervious areas within individual lots and surrounding individual units.  That is accounted for below using Form D-1a in Step 2.</t>
  </si>
  <si>
    <t>EAM</t>
  </si>
  <si>
    <r>
      <t>A</t>
    </r>
    <r>
      <rPr>
        <vertAlign val="subscript"/>
        <sz val="11"/>
        <rFont val="Calibri"/>
        <family val="2"/>
        <scheme val="minor"/>
      </rPr>
      <t>T</t>
    </r>
    <r>
      <rPr>
        <sz val="11"/>
        <rFont val="Calibri"/>
        <family val="2"/>
        <scheme val="minor"/>
      </rPr>
      <t>*I</t>
    </r>
  </si>
  <si>
    <t>v06232012</t>
  </si>
  <si>
    <t>Appendix D-1:  Residential Sites: Low Impact Development (LID) Credits and Treatment BMP Sizing Calculations</t>
  </si>
  <si>
    <t>5.  Multiply Boxes J1, J2 and J4, and enter 60% of the Result in Box J</t>
  </si>
  <si>
    <r>
      <t>Multiply Box K1, A</t>
    </r>
    <r>
      <rPr>
        <vertAlign val="subscript"/>
        <sz val="12"/>
        <rFont val="Arial"/>
        <family val="2"/>
      </rPr>
      <t>T</t>
    </r>
    <r>
      <rPr>
        <sz val="12"/>
        <rFont val="Arial"/>
        <family val="2"/>
      </rPr>
      <t>, and 0.04 and enter 60% of the result in Box K</t>
    </r>
  </si>
  <si>
    <t>Divide Box L7 by 43,560 and multiply by 20% to get effective area managed and enter the result in Box L8</t>
  </si>
  <si>
    <t>Subdrain Elevation</t>
  </si>
  <si>
    <t>Runoff Management Credit (Step 3)</t>
  </si>
  <si>
    <r>
      <t>A</t>
    </r>
    <r>
      <rPr>
        <vertAlign val="subscript"/>
        <sz val="14"/>
        <rFont val="Arial"/>
        <family val="2"/>
      </rPr>
      <t>LIDC</t>
    </r>
    <r>
      <rPr>
        <sz val="14"/>
        <rFont val="Arial"/>
        <family val="2"/>
      </rPr>
      <t>/A</t>
    </r>
    <r>
      <rPr>
        <vertAlign val="subscript"/>
        <sz val="14"/>
        <rFont val="Arial"/>
        <family val="2"/>
      </rPr>
      <t>T</t>
    </r>
    <r>
      <rPr>
        <sz val="14"/>
        <rFont val="Arial"/>
        <family val="2"/>
      </rPr>
      <t>*200 =</t>
    </r>
  </si>
  <si>
    <r>
      <t>Obtain P</t>
    </r>
    <r>
      <rPr>
        <vertAlign val="subscript"/>
        <sz val="12"/>
        <rFont val="Arial"/>
        <family val="2"/>
      </rPr>
      <t>0</t>
    </r>
    <r>
      <rPr>
        <sz val="12"/>
        <rFont val="Arial"/>
        <family val="2"/>
      </rPr>
      <t>: Maximized Detention Volume from figures E-1 to      E-4 in Appendix E of this manual using I</t>
    </r>
    <r>
      <rPr>
        <vertAlign val="subscript"/>
        <sz val="12"/>
        <rFont val="Arial"/>
        <family val="2"/>
      </rPr>
      <t>A</t>
    </r>
    <r>
      <rPr>
        <sz val="12"/>
        <rFont val="Arial"/>
        <family val="2"/>
      </rPr>
      <t xml:space="preserve"> from Step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</si>
</sst>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00"/>
    <numFmt numFmtId="165" formatCode="0.0000"/>
    <numFmt numFmtId="166" formatCode="0.0"/>
    <numFmt numFmtId="167" formatCode="_(* #,##0_);_(* \(#,##0\);_(* &quot;-&quot;??_);_(@_)"/>
    <numFmt numFmtId="168" formatCode="0.0%"/>
  </numFmts>
  <fonts count="54" x14ac:knownFonts="1">
    <font>
      <sz val="11"/>
      <color theme="1"/>
      <name val="Calibri"/>
      <family val="2"/>
      <scheme val="minor"/>
    </font>
    <font>
      <b/>
      <sz val="14"/>
      <name val="Arial"/>
      <family val="2"/>
    </font>
    <font>
      <sz val="14"/>
      <name val="Arial"/>
      <family val="2"/>
    </font>
    <font>
      <sz val="10"/>
      <name val="Arial"/>
      <family val="2"/>
    </font>
    <font>
      <b/>
      <sz val="12"/>
      <name val="Arial"/>
      <family val="2"/>
    </font>
    <font>
      <b/>
      <sz val="14"/>
      <color indexed="16"/>
      <name val="Arial"/>
      <family val="2"/>
    </font>
    <font>
      <sz val="12"/>
      <name val="Arial"/>
      <family val="2"/>
    </font>
    <font>
      <b/>
      <sz val="16"/>
      <name val="Arial"/>
      <family val="2"/>
    </font>
    <font>
      <vertAlign val="subscript"/>
      <sz val="12"/>
      <name val="Arial"/>
      <family val="2"/>
    </font>
    <font>
      <sz val="12"/>
      <name val="Tahoma"/>
      <family val="2"/>
    </font>
    <font>
      <b/>
      <sz val="10"/>
      <name val="Arial"/>
      <family val="2"/>
    </font>
    <font>
      <sz val="11"/>
      <name val="Arial"/>
      <family val="2"/>
    </font>
    <font>
      <sz val="10"/>
      <color indexed="10"/>
      <name val="Arial"/>
      <family val="2"/>
    </font>
    <font>
      <vertAlign val="subscript"/>
      <sz val="12"/>
      <name val="Tahoma"/>
      <family val="2"/>
    </font>
    <font>
      <sz val="12"/>
      <color indexed="10"/>
      <name val="Arial"/>
      <family val="2"/>
    </font>
    <font>
      <b/>
      <vertAlign val="subscript"/>
      <sz val="12"/>
      <name val="Arial"/>
      <family val="2"/>
    </font>
    <font>
      <i/>
      <sz val="14"/>
      <name val="Arial"/>
      <family val="2"/>
    </font>
    <font>
      <sz val="14"/>
      <color indexed="62"/>
      <name val="Arial"/>
      <family val="2"/>
    </font>
    <font>
      <b/>
      <sz val="14"/>
      <name val="Tahoma"/>
      <family val="2"/>
    </font>
    <font>
      <b/>
      <vertAlign val="subscript"/>
      <sz val="14"/>
      <name val="Tahoma"/>
      <family val="2"/>
    </font>
    <font>
      <vertAlign val="subscript"/>
      <sz val="14"/>
      <color indexed="62"/>
      <name val="Arial"/>
      <family val="2"/>
    </font>
    <font>
      <b/>
      <vertAlign val="subscript"/>
      <sz val="14"/>
      <name val="Arial"/>
      <family val="2"/>
    </font>
    <font>
      <sz val="11"/>
      <color rgb="FFFF0000"/>
      <name val="Calibri"/>
      <family val="2"/>
      <scheme val="minor"/>
    </font>
    <font>
      <sz val="11"/>
      <name val="Calibri"/>
      <family val="2"/>
      <scheme val="minor"/>
    </font>
    <font>
      <sz val="11"/>
      <color theme="1"/>
      <name val="Calibri"/>
      <family val="2"/>
      <scheme val="minor"/>
    </font>
    <font>
      <sz val="10"/>
      <color rgb="FFFF0000"/>
      <name val="Arial"/>
      <family val="2"/>
    </font>
    <font>
      <b/>
      <sz val="11"/>
      <color theme="1"/>
      <name val="Calibri"/>
      <family val="2"/>
      <scheme val="minor"/>
    </font>
    <font>
      <b/>
      <sz val="14"/>
      <color theme="5" tint="-0.499984740745262"/>
      <name val="Arial"/>
      <family val="2"/>
    </font>
    <font>
      <b/>
      <sz val="12"/>
      <color theme="1"/>
      <name val="Arial"/>
      <family val="2"/>
    </font>
    <font>
      <sz val="12"/>
      <color theme="1"/>
      <name val="Arial"/>
      <family val="2"/>
    </font>
    <font>
      <u/>
      <sz val="11"/>
      <color theme="5" tint="-0.499984740745262"/>
      <name val="Calibri"/>
      <family val="2"/>
      <scheme val="minor"/>
    </font>
    <font>
      <sz val="11"/>
      <color theme="5" tint="-0.499984740745262"/>
      <name val="Calibri"/>
      <family val="2"/>
      <scheme val="minor"/>
    </font>
    <font>
      <sz val="14"/>
      <color indexed="10"/>
      <name val="Arial"/>
      <family val="2"/>
    </font>
    <font>
      <vertAlign val="subscript"/>
      <sz val="11"/>
      <name val="Arial"/>
      <family val="2"/>
    </font>
    <font>
      <u/>
      <sz val="12"/>
      <name val="Arial"/>
      <family val="2"/>
    </font>
    <font>
      <i/>
      <sz val="10"/>
      <name val="Arial"/>
      <family val="2"/>
    </font>
    <font>
      <b/>
      <u/>
      <sz val="10"/>
      <name val="Arial"/>
      <family val="2"/>
    </font>
    <font>
      <i/>
      <sz val="12"/>
      <name val="Arial"/>
      <family val="2"/>
    </font>
    <font>
      <sz val="10"/>
      <color indexed="62"/>
      <name val="Arial"/>
      <family val="2"/>
    </font>
    <font>
      <vertAlign val="subscript"/>
      <sz val="10"/>
      <color indexed="62"/>
      <name val="Arial"/>
      <family val="2"/>
    </font>
    <font>
      <b/>
      <vertAlign val="subscript"/>
      <sz val="10"/>
      <name val="Arial"/>
      <family val="2"/>
    </font>
    <font>
      <sz val="10"/>
      <name val="Arial"/>
      <family val="2"/>
    </font>
    <font>
      <b/>
      <sz val="12"/>
      <name val="Calibri"/>
      <family val="2"/>
    </font>
    <font>
      <b/>
      <sz val="10.199999999999999"/>
      <name val="Arial"/>
      <family val="2"/>
    </font>
    <font>
      <vertAlign val="subscript"/>
      <sz val="11"/>
      <name val="Calibri"/>
      <family val="2"/>
      <scheme val="minor"/>
    </font>
    <font>
      <sz val="14"/>
      <color theme="1" tint="0.499984740745262"/>
      <name val="Arial"/>
      <family val="2"/>
    </font>
    <font>
      <sz val="11"/>
      <color theme="1" tint="0.499984740745262"/>
      <name val="Calibri"/>
      <family val="2"/>
      <scheme val="minor"/>
    </font>
    <font>
      <b/>
      <sz val="18"/>
      <name val="Arial"/>
      <family val="2"/>
    </font>
    <font>
      <b/>
      <sz val="18"/>
      <color rgb="FFC00000"/>
      <name val="Arial"/>
      <family val="2"/>
    </font>
    <font>
      <sz val="14"/>
      <name val="Calibri"/>
      <family val="2"/>
      <scheme val="minor"/>
    </font>
    <font>
      <vertAlign val="subscript"/>
      <sz val="14"/>
      <name val="Arial"/>
      <family val="2"/>
    </font>
    <font>
      <sz val="14"/>
      <color theme="1"/>
      <name val="Calibri"/>
      <family val="2"/>
      <scheme val="minor"/>
    </font>
    <font>
      <sz val="14"/>
      <color theme="5" tint="-0.499984740745262"/>
      <name val="Calibri"/>
      <family val="2"/>
      <scheme val="minor"/>
    </font>
    <font>
      <sz val="14"/>
      <color rgb="FFFF0000"/>
      <name val="Calibri"/>
      <family val="2"/>
      <scheme val="minor"/>
    </font>
  </fonts>
  <fills count="15">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41"/>
        <bgColor indexed="64"/>
      </patternFill>
    </fill>
    <fill>
      <patternFill patternType="solid">
        <fgColor rgb="FF99FF99"/>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FF"/>
        <bgColor indexed="64"/>
      </patternFill>
    </fill>
    <fill>
      <patternFill patternType="solid">
        <fgColor rgb="FFC0C0C0"/>
        <bgColor indexed="64"/>
      </patternFill>
    </fill>
    <fill>
      <patternFill patternType="solid">
        <fgColor rgb="FFD9D9D9"/>
        <bgColor indexed="64"/>
      </patternFill>
    </fill>
    <fill>
      <patternFill patternType="solid">
        <fgColor theme="0"/>
        <bgColor indexed="64"/>
      </patternFill>
    </fill>
    <fill>
      <patternFill patternType="solid">
        <fgColor rgb="FFD5FFD5"/>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dashed">
        <color indexed="64"/>
      </bottom>
      <diagonal/>
    </border>
    <border>
      <left/>
      <right style="medium">
        <color indexed="64"/>
      </right>
      <top/>
      <bottom style="dashed">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s>
  <cellStyleXfs count="2">
    <xf numFmtId="0" fontId="0" fillId="0" borderId="0"/>
    <xf numFmtId="43" fontId="24" fillId="0" borderId="0" applyFont="0" applyFill="0" applyBorder="0" applyAlignment="0" applyProtection="0"/>
  </cellStyleXfs>
  <cellXfs count="475">
    <xf numFmtId="0" fontId="0" fillId="0" borderId="0" xfId="0"/>
    <xf numFmtId="0" fontId="0" fillId="0" borderId="0" xfId="0" applyAlignment="1"/>
    <xf numFmtId="0" fontId="3" fillId="0" borderId="0" xfId="0" applyFont="1" applyFill="1" applyBorder="1" applyAlignment="1"/>
    <xf numFmtId="0" fontId="3" fillId="3" borderId="0" xfId="0" applyFont="1" applyFill="1" applyBorder="1" applyAlignment="1"/>
    <xf numFmtId="0" fontId="3" fillId="3" borderId="0" xfId="0" applyFont="1" applyFill="1"/>
    <xf numFmtId="0" fontId="0" fillId="3" borderId="0" xfId="0" applyFill="1"/>
    <xf numFmtId="0" fontId="4" fillId="3" borderId="0" xfId="0" applyFont="1" applyFill="1" applyBorder="1" applyAlignment="1">
      <alignment horizontal="right"/>
    </xf>
    <xf numFmtId="0" fontId="0" fillId="3" borderId="0" xfId="0" applyFill="1" applyAlignment="1"/>
    <xf numFmtId="0" fontId="2" fillId="4" borderId="0" xfId="0" applyFont="1" applyFill="1" applyAlignment="1"/>
    <xf numFmtId="0" fontId="0" fillId="4" borderId="0" xfId="0" applyFill="1" applyAlignment="1"/>
    <xf numFmtId="0" fontId="3" fillId="4" borderId="0" xfId="0" applyFont="1" applyFill="1"/>
    <xf numFmtId="0" fontId="2" fillId="3" borderId="0" xfId="0" applyFont="1" applyFill="1" applyBorder="1" applyAlignment="1"/>
    <xf numFmtId="0" fontId="0" fillId="3" borderId="4" xfId="0" applyFill="1" applyBorder="1"/>
    <xf numFmtId="0" fontId="3" fillId="3" borderId="5" xfId="0" applyFont="1" applyFill="1" applyBorder="1" applyAlignment="1"/>
    <xf numFmtId="0" fontId="3" fillId="3" borderId="5" xfId="0" applyFont="1" applyFill="1" applyBorder="1"/>
    <xf numFmtId="0" fontId="0" fillId="3" borderId="5" xfId="0" applyFill="1" applyBorder="1"/>
    <xf numFmtId="0" fontId="4" fillId="3" borderId="0" xfId="0" applyFont="1" applyFill="1" applyBorder="1" applyAlignment="1"/>
    <xf numFmtId="0" fontId="6" fillId="3" borderId="0" xfId="0" applyFont="1" applyFill="1"/>
    <xf numFmtId="0" fontId="0" fillId="3" borderId="0" xfId="0" applyFill="1" applyBorder="1"/>
    <xf numFmtId="0" fontId="6" fillId="3" borderId="0" xfId="0" applyFont="1" applyFill="1" applyBorder="1" applyAlignment="1"/>
    <xf numFmtId="0" fontId="6" fillId="3" borderId="0" xfId="0" applyFont="1" applyFill="1" applyAlignment="1">
      <alignment horizontal="center"/>
    </xf>
    <xf numFmtId="0" fontId="6" fillId="3" borderId="0" xfId="0" applyFont="1" applyFill="1" applyBorder="1" applyAlignment="1">
      <alignment horizontal="left" vertical="center"/>
    </xf>
    <xf numFmtId="0" fontId="6" fillId="3" borderId="0" xfId="0" applyFont="1" applyFill="1" applyAlignment="1">
      <alignment horizontal="center" shrinkToFit="1"/>
    </xf>
    <xf numFmtId="0" fontId="6" fillId="3" borderId="0" xfId="0" applyFont="1" applyFill="1" applyBorder="1"/>
    <xf numFmtId="0" fontId="9" fillId="3" borderId="0" xfId="0" applyFont="1" applyFill="1" applyBorder="1" applyAlignment="1">
      <alignment horizontal="left" vertical="center"/>
    </xf>
    <xf numFmtId="2" fontId="3" fillId="0" borderId="0" xfId="0" applyNumberFormat="1" applyFont="1" applyFill="1" applyBorder="1" applyAlignment="1"/>
    <xf numFmtId="0" fontId="3" fillId="0" borderId="0" xfId="0" applyFont="1"/>
    <xf numFmtId="0" fontId="6" fillId="2" borderId="0" xfId="0" applyFont="1" applyFill="1" applyBorder="1" applyAlignment="1"/>
    <xf numFmtId="0" fontId="6" fillId="2" borderId="0" xfId="0" applyFont="1" applyFill="1" applyBorder="1" applyAlignment="1">
      <alignment horizontal="center" wrapText="1"/>
    </xf>
    <xf numFmtId="0" fontId="0" fillId="2" borderId="0" xfId="0" applyFill="1" applyBorder="1"/>
    <xf numFmtId="0" fontId="12" fillId="3" borderId="0" xfId="0" applyFont="1" applyFill="1" applyBorder="1" applyAlignment="1"/>
    <xf numFmtId="0" fontId="4" fillId="3" borderId="0" xfId="0" applyFont="1" applyFill="1"/>
    <xf numFmtId="0" fontId="6" fillId="3" borderId="0" xfId="0" applyFont="1" applyFill="1" applyBorder="1" applyAlignment="1">
      <alignment horizontal="center"/>
    </xf>
    <xf numFmtId="0" fontId="3" fillId="3" borderId="0" xfId="0" applyFont="1" applyFill="1" applyBorder="1" applyAlignment="1">
      <alignment horizontal="left"/>
    </xf>
    <xf numFmtId="0" fontId="6" fillId="3" borderId="0" xfId="0" applyFont="1" applyFill="1" applyAlignment="1">
      <alignment horizontal="left"/>
    </xf>
    <xf numFmtId="2" fontId="2" fillId="3" borderId="9" xfId="0" applyNumberFormat="1" applyFont="1" applyFill="1" applyBorder="1"/>
    <xf numFmtId="0" fontId="3" fillId="3" borderId="0" xfId="0" applyFont="1" applyFill="1" applyBorder="1" applyAlignment="1">
      <alignment horizontal="center"/>
    </xf>
    <xf numFmtId="0" fontId="3" fillId="3" borderId="0" xfId="0" applyFont="1" applyFill="1" applyBorder="1"/>
    <xf numFmtId="0" fontId="9" fillId="3" borderId="0" xfId="0" applyFont="1" applyFill="1" applyBorder="1" applyAlignment="1">
      <alignment horizontal="center"/>
    </xf>
    <xf numFmtId="2" fontId="3" fillId="3" borderId="0" xfId="0" applyNumberFormat="1" applyFont="1" applyFill="1" applyBorder="1" applyAlignment="1"/>
    <xf numFmtId="0" fontId="3" fillId="0" borderId="0" xfId="0" applyFont="1" applyFill="1"/>
    <xf numFmtId="0" fontId="0" fillId="0" borderId="0" xfId="0" applyFill="1"/>
    <xf numFmtId="0" fontId="2" fillId="0" borderId="0" xfId="0" applyFont="1"/>
    <xf numFmtId="0" fontId="0" fillId="0" borderId="0" xfId="0" applyBorder="1"/>
    <xf numFmtId="0" fontId="0" fillId="0" borderId="0" xfId="0" applyBorder="1" applyAlignment="1">
      <alignment wrapText="1"/>
    </xf>
    <xf numFmtId="0" fontId="11" fillId="2" borderId="0" xfId="0" applyFont="1" applyFill="1" applyBorder="1" applyAlignment="1">
      <alignment horizontal="left"/>
    </xf>
    <xf numFmtId="0" fontId="0" fillId="2" borderId="12" xfId="0" applyFill="1" applyBorder="1"/>
    <xf numFmtId="0" fontId="6" fillId="3" borderId="0" xfId="0" applyFont="1" applyFill="1" applyBorder="1" applyAlignment="1">
      <alignment horizontal="left"/>
    </xf>
    <xf numFmtId="2" fontId="2" fillId="3" borderId="0" xfId="0" applyNumberFormat="1" applyFont="1" applyFill="1"/>
    <xf numFmtId="0" fontId="2" fillId="3" borderId="0" xfId="0" applyFont="1" applyFill="1"/>
    <xf numFmtId="2" fontId="6" fillId="3" borderId="0" xfId="0" applyNumberFormat="1" applyFont="1" applyFill="1" applyBorder="1" applyAlignment="1"/>
    <xf numFmtId="0" fontId="0" fillId="3" borderId="12" xfId="0" applyFill="1" applyBorder="1"/>
    <xf numFmtId="0" fontId="6" fillId="3" borderId="12" xfId="0" applyFont="1" applyFill="1" applyBorder="1" applyAlignment="1"/>
    <xf numFmtId="2" fontId="3" fillId="3" borderId="0" xfId="0" applyNumberFormat="1" applyFont="1" applyFill="1" applyBorder="1" applyAlignment="1">
      <alignment horizontal="center"/>
    </xf>
    <xf numFmtId="0" fontId="14" fillId="3" borderId="0" xfId="0" applyFont="1" applyFill="1" applyBorder="1" applyAlignment="1"/>
    <xf numFmtId="0" fontId="2" fillId="3" borderId="0" xfId="0" applyFont="1" applyFill="1" applyBorder="1" applyAlignment="1">
      <alignment horizontal="center"/>
    </xf>
    <xf numFmtId="0" fontId="3" fillId="3" borderId="12" xfId="0" applyFont="1" applyFill="1" applyBorder="1" applyAlignment="1"/>
    <xf numFmtId="0" fontId="2" fillId="3" borderId="12" xfId="0" applyFont="1" applyFill="1" applyBorder="1" applyAlignment="1">
      <alignment horizontal="center"/>
    </xf>
    <xf numFmtId="0" fontId="2" fillId="3" borderId="12" xfId="0" applyFont="1" applyFill="1" applyBorder="1" applyAlignment="1"/>
    <xf numFmtId="0" fontId="1" fillId="2" borderId="0" xfId="0" applyFont="1" applyFill="1" applyBorder="1" applyAlignment="1">
      <alignment horizontal="left"/>
    </xf>
    <xf numFmtId="0" fontId="3" fillId="2" borderId="0" xfId="0" applyFont="1" applyFill="1" applyBorder="1" applyAlignment="1"/>
    <xf numFmtId="0" fontId="3" fillId="2" borderId="0" xfId="0" applyFont="1" applyFill="1"/>
    <xf numFmtId="0" fontId="0" fillId="2" borderId="0" xfId="0" applyFill="1"/>
    <xf numFmtId="0" fontId="11" fillId="2" borderId="0" xfId="0" applyFont="1" applyFill="1" applyBorder="1" applyAlignment="1"/>
    <xf numFmtId="0" fontId="3" fillId="3" borderId="0" xfId="0" applyFont="1" applyFill="1" applyBorder="1" applyAlignment="1">
      <alignment horizontal="center" vertical="center"/>
    </xf>
    <xf numFmtId="0" fontId="3" fillId="3" borderId="12" xfId="0" applyFont="1" applyFill="1" applyBorder="1" applyAlignment="1">
      <alignment horizontal="right"/>
    </xf>
    <xf numFmtId="0" fontId="6" fillId="3" borderId="12" xfId="0" applyFont="1" applyFill="1" applyBorder="1" applyAlignment="1">
      <alignment horizontal="center"/>
    </xf>
    <xf numFmtId="0" fontId="2" fillId="3" borderId="12" xfId="0" applyFont="1" applyFill="1" applyBorder="1"/>
    <xf numFmtId="2" fontId="2" fillId="3" borderId="12" xfId="0" applyNumberFormat="1" applyFont="1" applyFill="1" applyBorder="1" applyAlignment="1">
      <alignment horizontal="center"/>
    </xf>
    <xf numFmtId="0" fontId="1" fillId="2" borderId="4" xfId="0" applyFont="1" applyFill="1" applyBorder="1"/>
    <xf numFmtId="0" fontId="0" fillId="2" borderId="4" xfId="0" applyFill="1" applyBorder="1"/>
    <xf numFmtId="0" fontId="3" fillId="2" borderId="4" xfId="0" applyFont="1" applyFill="1" applyBorder="1" applyAlignment="1"/>
    <xf numFmtId="0" fontId="3" fillId="2" borderId="4" xfId="0" applyFont="1" applyFill="1" applyBorder="1"/>
    <xf numFmtId="2" fontId="6" fillId="3" borderId="0" xfId="0" applyNumberFormat="1" applyFont="1" applyFill="1"/>
    <xf numFmtId="2" fontId="0" fillId="3" borderId="0" xfId="0" applyNumberFormat="1" applyFill="1"/>
    <xf numFmtId="0" fontId="4" fillId="3" borderId="0" xfId="0" applyFont="1" applyFill="1" applyAlignment="1">
      <alignment horizontal="center"/>
    </xf>
    <xf numFmtId="2" fontId="0" fillId="0" borderId="0" xfId="0" applyNumberFormat="1" applyFill="1"/>
    <xf numFmtId="2" fontId="0" fillId="2" borderId="4" xfId="0" applyNumberFormat="1" applyFill="1" applyBorder="1"/>
    <xf numFmtId="0" fontId="0" fillId="3" borderId="0" xfId="0" applyFill="1" applyAlignment="1">
      <alignment horizontal="right"/>
    </xf>
    <xf numFmtId="1" fontId="0" fillId="3" borderId="0" xfId="0" applyNumberFormat="1" applyFill="1" applyBorder="1"/>
    <xf numFmtId="0" fontId="2" fillId="4" borderId="9" xfId="0" applyFont="1" applyFill="1" applyBorder="1" applyAlignment="1"/>
    <xf numFmtId="2" fontId="16" fillId="3" borderId="0" xfId="0" applyNumberFormat="1" applyFont="1" applyFill="1" applyBorder="1" applyAlignment="1"/>
    <xf numFmtId="0" fontId="0" fillId="3" borderId="0" xfId="0" applyFill="1" applyBorder="1" applyAlignment="1"/>
    <xf numFmtId="0" fontId="6" fillId="3" borderId="0" xfId="0" applyFont="1" applyFill="1" applyAlignment="1">
      <alignment horizontal="right"/>
    </xf>
    <xf numFmtId="0" fontId="6" fillId="0" borderId="0" xfId="0" applyFont="1" applyBorder="1" applyAlignment="1"/>
    <xf numFmtId="0" fontId="0" fillId="0" borderId="0" xfId="0" applyBorder="1" applyAlignment="1"/>
    <xf numFmtId="0" fontId="2" fillId="0" borderId="0" xfId="0" applyFont="1" applyAlignment="1">
      <alignment horizontal="center"/>
    </xf>
    <xf numFmtId="0" fontId="17" fillId="0" borderId="0" xfId="0" applyFont="1" applyAlignment="1">
      <alignment horizontal="right"/>
    </xf>
    <xf numFmtId="0" fontId="17" fillId="0" borderId="0" xfId="0" applyFont="1"/>
    <xf numFmtId="0" fontId="18" fillId="3" borderId="21" xfId="0" applyFont="1" applyFill="1" applyBorder="1" applyAlignment="1">
      <alignment horizontal="center"/>
    </xf>
    <xf numFmtId="0" fontId="18" fillId="3" borderId="22" xfId="0" applyFont="1" applyFill="1" applyBorder="1" applyAlignment="1">
      <alignment horizontal="center"/>
    </xf>
    <xf numFmtId="0" fontId="2" fillId="0" borderId="11" xfId="0" applyFont="1" applyBorder="1" applyAlignment="1">
      <alignment horizontal="center"/>
    </xf>
    <xf numFmtId="165" fontId="2" fillId="0" borderId="10" xfId="0" applyNumberFormat="1" applyFont="1" applyBorder="1" applyAlignment="1">
      <alignment horizontal="center"/>
    </xf>
    <xf numFmtId="2" fontId="2" fillId="0" borderId="10" xfId="0" applyNumberFormat="1" applyFont="1" applyBorder="1" applyAlignment="1">
      <alignment horizontal="center"/>
    </xf>
    <xf numFmtId="0" fontId="1" fillId="0" borderId="0" xfId="0" applyFont="1" applyAlignment="1">
      <alignment horizontal="center"/>
    </xf>
    <xf numFmtId="0" fontId="2" fillId="0" borderId="0" xfId="0" applyFont="1" applyAlignment="1">
      <alignment horizontal="right"/>
    </xf>
    <xf numFmtId="2" fontId="2" fillId="0" borderId="0" xfId="0" applyNumberFormat="1" applyFont="1"/>
    <xf numFmtId="0" fontId="2" fillId="0" borderId="23" xfId="0" applyFont="1" applyBorder="1" applyAlignment="1">
      <alignment horizontal="center"/>
    </xf>
    <xf numFmtId="165" fontId="2" fillId="0" borderId="24" xfId="0" applyNumberFormat="1" applyFont="1" applyBorder="1" applyAlignment="1">
      <alignment horizontal="center"/>
    </xf>
    <xf numFmtId="2" fontId="2" fillId="0" borderId="24" xfId="0" applyNumberFormat="1" applyFont="1" applyBorder="1" applyAlignment="1">
      <alignment horizontal="center"/>
    </xf>
    <xf numFmtId="0" fontId="2" fillId="0" borderId="15" xfId="0" applyFont="1" applyBorder="1" applyAlignment="1">
      <alignment horizontal="center"/>
    </xf>
    <xf numFmtId="165" fontId="2" fillId="0" borderId="16" xfId="0" applyNumberFormat="1" applyFont="1" applyBorder="1" applyAlignment="1">
      <alignment horizontal="center"/>
    </xf>
    <xf numFmtId="2" fontId="2" fillId="0" borderId="16" xfId="0" applyNumberFormat="1" applyFont="1" applyBorder="1" applyAlignment="1">
      <alignment horizontal="center"/>
    </xf>
    <xf numFmtId="0" fontId="2" fillId="0" borderId="17" xfId="0" applyFont="1" applyBorder="1" applyAlignment="1">
      <alignment horizontal="center"/>
    </xf>
    <xf numFmtId="165" fontId="2" fillId="0" borderId="17" xfId="0" applyNumberFormat="1" applyFont="1" applyBorder="1" applyAlignment="1">
      <alignment horizontal="center"/>
    </xf>
    <xf numFmtId="0" fontId="2" fillId="0" borderId="0" xfId="0" applyFont="1" applyBorder="1" applyAlignment="1">
      <alignment horizontal="center"/>
    </xf>
    <xf numFmtId="165" fontId="2" fillId="0" borderId="0" xfId="0" applyNumberFormat="1" applyFont="1" applyBorder="1" applyAlignment="1">
      <alignment horizontal="center"/>
    </xf>
    <xf numFmtId="0" fontId="6" fillId="0" borderId="0" xfId="0" applyFont="1"/>
    <xf numFmtId="0" fontId="6" fillId="0" borderId="0" xfId="0" applyFont="1" applyBorder="1" applyAlignment="1">
      <alignment horizontal="center"/>
    </xf>
    <xf numFmtId="165" fontId="6" fillId="0" borderId="0" xfId="0" applyNumberFormat="1" applyFont="1" applyBorder="1" applyAlignment="1">
      <alignment horizontal="center"/>
    </xf>
    <xf numFmtId="0" fontId="6" fillId="0" borderId="11" xfId="0" applyFont="1" applyBorder="1" applyAlignment="1">
      <alignment horizontal="center"/>
    </xf>
    <xf numFmtId="2" fontId="6" fillId="0" borderId="10" xfId="0" applyNumberFormat="1" applyFont="1" applyBorder="1" applyAlignment="1">
      <alignment horizontal="center"/>
    </xf>
    <xf numFmtId="0" fontId="6" fillId="0" borderId="23" xfId="0" applyFont="1" applyBorder="1" applyAlignment="1">
      <alignment horizontal="center"/>
    </xf>
    <xf numFmtId="2" fontId="6" fillId="0" borderId="24" xfId="0" applyNumberFormat="1" applyFont="1" applyBorder="1" applyAlignment="1">
      <alignment horizontal="center"/>
    </xf>
    <xf numFmtId="0" fontId="6" fillId="0" borderId="15" xfId="0" applyFont="1" applyBorder="1" applyAlignment="1">
      <alignment horizontal="center"/>
    </xf>
    <xf numFmtId="2" fontId="6" fillId="0" borderId="16" xfId="0" applyNumberFormat="1" applyFont="1" applyBorder="1" applyAlignment="1">
      <alignment horizontal="center"/>
    </xf>
    <xf numFmtId="2" fontId="0" fillId="0" borderId="0" xfId="0" applyNumberFormat="1"/>
    <xf numFmtId="2" fontId="2" fillId="0" borderId="11" xfId="0" applyNumberFormat="1" applyFont="1" applyBorder="1" applyAlignment="1">
      <alignment horizontal="center"/>
    </xf>
    <xf numFmtId="2" fontId="2" fillId="0" borderId="15" xfId="0" applyNumberFormat="1" applyFont="1" applyBorder="1" applyAlignment="1">
      <alignment horizontal="center"/>
    </xf>
    <xf numFmtId="165" fontId="0" fillId="0" borderId="0" xfId="0" applyNumberFormat="1"/>
    <xf numFmtId="2" fontId="2" fillId="3" borderId="0" xfId="0" applyNumberFormat="1" applyFont="1" applyFill="1" applyBorder="1" applyAlignment="1"/>
    <xf numFmtId="0" fontId="3" fillId="5" borderId="0" xfId="0" applyFont="1" applyFill="1" applyBorder="1" applyAlignment="1"/>
    <xf numFmtId="2" fontId="3" fillId="5" borderId="0" xfId="0" applyNumberFormat="1" applyFont="1" applyFill="1" applyBorder="1" applyAlignment="1"/>
    <xf numFmtId="0" fontId="3" fillId="5" borderId="0" xfId="0" applyFont="1" applyFill="1"/>
    <xf numFmtId="0" fontId="0" fillId="5" borderId="0" xfId="0" applyFill="1"/>
    <xf numFmtId="0" fontId="4" fillId="5" borderId="0" xfId="0" applyFont="1" applyFill="1" applyBorder="1" applyAlignment="1"/>
    <xf numFmtId="0" fontId="6" fillId="5" borderId="0" xfId="0" applyFont="1" applyFill="1" applyBorder="1" applyAlignment="1">
      <alignment horizontal="right"/>
    </xf>
    <xf numFmtId="0" fontId="6" fillId="5" borderId="0" xfId="0" applyFont="1" applyFill="1"/>
    <xf numFmtId="0" fontId="6" fillId="5" borderId="0" xfId="0" applyFont="1" applyFill="1" applyBorder="1" applyAlignment="1"/>
    <xf numFmtId="0" fontId="0" fillId="5" borderId="0" xfId="0" applyFill="1" applyBorder="1"/>
    <xf numFmtId="166" fontId="2" fillId="6" borderId="9" xfId="0" applyNumberFormat="1" applyFont="1" applyFill="1" applyBorder="1" applyAlignment="1"/>
    <xf numFmtId="0" fontId="4" fillId="5" borderId="4" xfId="0" applyFont="1" applyFill="1" applyBorder="1" applyAlignment="1"/>
    <xf numFmtId="0" fontId="6" fillId="5" borderId="4" xfId="0" applyFont="1" applyFill="1" applyBorder="1" applyAlignment="1">
      <alignment horizontal="center" shrinkToFit="1"/>
    </xf>
    <xf numFmtId="0" fontId="6" fillId="5" borderId="4" xfId="0" applyFont="1" applyFill="1" applyBorder="1" applyAlignment="1">
      <alignment horizontal="right"/>
    </xf>
    <xf numFmtId="0" fontId="6" fillId="5" borderId="4" xfId="0" applyFont="1" applyFill="1" applyBorder="1"/>
    <xf numFmtId="0" fontId="3" fillId="5" borderId="4" xfId="0" applyFont="1" applyFill="1" applyBorder="1" applyAlignment="1"/>
    <xf numFmtId="0" fontId="6" fillId="5" borderId="4" xfId="0" applyFont="1" applyFill="1" applyBorder="1" applyAlignment="1"/>
    <xf numFmtId="0" fontId="3" fillId="5" borderId="4" xfId="0" applyFont="1" applyFill="1" applyBorder="1"/>
    <xf numFmtId="0" fontId="0" fillId="5" borderId="4" xfId="0" applyFill="1" applyBorder="1"/>
    <xf numFmtId="0" fontId="6" fillId="5" borderId="0" xfId="0" applyFont="1" applyFill="1" applyBorder="1"/>
    <xf numFmtId="0" fontId="6" fillId="5" borderId="0" xfId="0" applyFont="1" applyFill="1" applyBorder="1" applyAlignment="1">
      <alignment horizontal="center"/>
    </xf>
    <xf numFmtId="2" fontId="2" fillId="5" borderId="0" xfId="0" applyNumberFormat="1" applyFont="1" applyFill="1" applyBorder="1"/>
    <xf numFmtId="2" fontId="2" fillId="6" borderId="9" xfId="0" applyNumberFormat="1" applyFont="1" applyFill="1" applyBorder="1" applyAlignment="1"/>
    <xf numFmtId="0" fontId="3" fillId="3" borderId="25" xfId="0" applyFont="1" applyFill="1" applyBorder="1" applyAlignment="1"/>
    <xf numFmtId="0" fontId="0" fillId="3" borderId="25" xfId="0" applyFill="1" applyBorder="1"/>
    <xf numFmtId="2" fontId="3" fillId="3" borderId="25" xfId="0" applyNumberFormat="1" applyFont="1" applyFill="1" applyBorder="1" applyAlignment="1"/>
    <xf numFmtId="0" fontId="3" fillId="3" borderId="25" xfId="0" applyFont="1" applyFill="1" applyBorder="1"/>
    <xf numFmtId="0" fontId="3" fillId="5" borderId="0" xfId="0" applyFont="1" applyFill="1" applyBorder="1"/>
    <xf numFmtId="0" fontId="22" fillId="0" borderId="0" xfId="0" applyFont="1"/>
    <xf numFmtId="0" fontId="7" fillId="3" borderId="0" xfId="0" applyFont="1" applyFill="1" applyAlignment="1">
      <alignment horizontal="center" vertical="center" wrapText="1"/>
    </xf>
    <xf numFmtId="0" fontId="6" fillId="0" borderId="0" xfId="0" applyFont="1" applyFill="1" applyBorder="1" applyAlignment="1"/>
    <xf numFmtId="0" fontId="0" fillId="8" borderId="0" xfId="0" applyFill="1"/>
    <xf numFmtId="0" fontId="2" fillId="8" borderId="0" xfId="0" applyFont="1" applyFill="1" applyBorder="1" applyAlignment="1"/>
    <xf numFmtId="0" fontId="22" fillId="8" borderId="0" xfId="0" applyFont="1" applyFill="1"/>
    <xf numFmtId="0" fontId="4" fillId="0" borderId="0" xfId="0" applyFont="1" applyFill="1" applyBorder="1" applyAlignment="1"/>
    <xf numFmtId="0" fontId="6" fillId="0" borderId="0" xfId="0" applyFont="1" applyFill="1" applyBorder="1" applyAlignment="1">
      <alignment horizontal="right"/>
    </xf>
    <xf numFmtId="0" fontId="6" fillId="0" borderId="0" xfId="0" applyFont="1" applyFill="1"/>
    <xf numFmtId="0" fontId="22" fillId="0" borderId="0" xfId="0" applyFont="1" applyFill="1"/>
    <xf numFmtId="0" fontId="3" fillId="9" borderId="0" xfId="0" applyFont="1" applyFill="1" applyBorder="1" applyAlignment="1"/>
    <xf numFmtId="0" fontId="23" fillId="9" borderId="0" xfId="0" applyFont="1" applyFill="1"/>
    <xf numFmtId="0" fontId="6" fillId="9" borderId="0" xfId="0" applyFont="1" applyFill="1" applyBorder="1" applyAlignment="1">
      <alignment horizontal="right"/>
    </xf>
    <xf numFmtId="166" fontId="2" fillId="9" borderId="0" xfId="0" applyNumberFormat="1" applyFont="1" applyFill="1" applyBorder="1" applyAlignment="1"/>
    <xf numFmtId="0" fontId="3" fillId="9" borderId="0" xfId="0" applyFont="1" applyFill="1"/>
    <xf numFmtId="0" fontId="6" fillId="9" borderId="0" xfId="0" applyFont="1" applyFill="1"/>
    <xf numFmtId="0" fontId="6" fillId="3" borderId="0" xfId="0" applyFont="1" applyFill="1" applyBorder="1" applyAlignment="1">
      <alignment horizontal="right"/>
    </xf>
    <xf numFmtId="0" fontId="0" fillId="0" borderId="0" xfId="0" applyFill="1" applyBorder="1"/>
    <xf numFmtId="166" fontId="2" fillId="0" borderId="0" xfId="0" applyNumberFormat="1" applyFont="1" applyFill="1" applyBorder="1" applyAlignment="1"/>
    <xf numFmtId="0" fontId="7" fillId="3" borderId="0" xfId="0" applyFont="1" applyFill="1" applyAlignment="1">
      <alignment horizontal="left" vertical="top"/>
    </xf>
    <xf numFmtId="0" fontId="7" fillId="3" borderId="0" xfId="0" applyFont="1" applyFill="1" applyAlignment="1">
      <alignment vertical="center" wrapText="1"/>
    </xf>
    <xf numFmtId="0" fontId="5" fillId="3" borderId="0" xfId="0" applyFont="1" applyFill="1" applyBorder="1" applyAlignment="1"/>
    <xf numFmtId="0" fontId="0" fillId="0" borderId="0" xfId="0" applyAlignment="1">
      <alignment horizontal="right"/>
    </xf>
    <xf numFmtId="0" fontId="6" fillId="5" borderId="0" xfId="0" applyFont="1" applyFill="1" applyBorder="1" applyAlignment="1">
      <alignment horizontal="left"/>
    </xf>
    <xf numFmtId="2" fontId="2" fillId="10" borderId="9" xfId="0" applyNumberFormat="1" applyFont="1" applyFill="1" applyBorder="1" applyAlignment="1"/>
    <xf numFmtId="0" fontId="25" fillId="3" borderId="0" xfId="0" applyFont="1" applyFill="1" applyBorder="1" applyAlignment="1"/>
    <xf numFmtId="0" fontId="0" fillId="0" borderId="0" xfId="0" applyBorder="1" applyAlignment="1">
      <alignment horizontal="right"/>
    </xf>
    <xf numFmtId="0" fontId="0" fillId="0" borderId="4" xfId="0" applyBorder="1"/>
    <xf numFmtId="0" fontId="3" fillId="3" borderId="4" xfId="0" applyFont="1" applyFill="1" applyBorder="1" applyAlignment="1"/>
    <xf numFmtId="0" fontId="3" fillId="0" borderId="0" xfId="0" applyFont="1" applyFill="1" applyBorder="1" applyAlignment="1">
      <alignment vertical="top"/>
    </xf>
    <xf numFmtId="0" fontId="22" fillId="0" borderId="0" xfId="0" applyFont="1" applyAlignment="1">
      <alignment vertical="top"/>
    </xf>
    <xf numFmtId="0" fontId="0" fillId="0" borderId="0" xfId="0" applyAlignment="1">
      <alignment vertical="top"/>
    </xf>
    <xf numFmtId="2" fontId="6" fillId="3" borderId="6" xfId="0" applyNumberFormat="1" applyFont="1" applyFill="1" applyBorder="1"/>
    <xf numFmtId="0" fontId="0" fillId="0" borderId="8" xfId="0" applyBorder="1"/>
    <xf numFmtId="0" fontId="26" fillId="3" borderId="0" xfId="0" applyFont="1" applyFill="1"/>
    <xf numFmtId="0" fontId="23" fillId="0" borderId="0" xfId="0" applyFont="1"/>
    <xf numFmtId="0" fontId="23" fillId="0" borderId="6" xfId="0" applyFont="1" applyBorder="1"/>
    <xf numFmtId="0" fontId="23" fillId="0" borderId="8" xfId="0" applyFont="1" applyBorder="1"/>
    <xf numFmtId="2" fontId="16" fillId="3" borderId="4" xfId="0" applyNumberFormat="1" applyFont="1" applyFill="1" applyBorder="1" applyAlignment="1"/>
    <xf numFmtId="0" fontId="0" fillId="3" borderId="4" xfId="0" applyFill="1" applyBorder="1" applyAlignment="1"/>
    <xf numFmtId="0" fontId="6" fillId="3" borderId="4" xfId="0" applyFont="1" applyFill="1" applyBorder="1"/>
    <xf numFmtId="0" fontId="3" fillId="3" borderId="4" xfId="0" applyFont="1" applyFill="1" applyBorder="1"/>
    <xf numFmtId="0" fontId="28" fillId="11" borderId="0" xfId="0" applyFont="1" applyFill="1" applyAlignment="1">
      <alignment vertical="center"/>
    </xf>
    <xf numFmtId="0" fontId="29" fillId="12" borderId="0" xfId="0" applyFont="1" applyFill="1" applyAlignment="1">
      <alignment vertical="center"/>
    </xf>
    <xf numFmtId="0" fontId="4" fillId="11" borderId="0" xfId="0" applyFont="1" applyFill="1" applyAlignment="1">
      <alignment vertical="center"/>
    </xf>
    <xf numFmtId="0" fontId="6" fillId="12" borderId="0" xfId="0" applyFont="1" applyFill="1" applyAlignment="1">
      <alignment vertical="center"/>
    </xf>
    <xf numFmtId="0" fontId="27" fillId="3" borderId="5" xfId="0" applyFont="1" applyFill="1" applyBorder="1" applyAlignment="1"/>
    <xf numFmtId="1" fontId="6" fillId="4" borderId="4" xfId="0" applyNumberFormat="1" applyFont="1" applyFill="1" applyBorder="1" applyAlignment="1" applyProtection="1">
      <protection locked="0"/>
    </xf>
    <xf numFmtId="2" fontId="6" fillId="4" borderId="4" xfId="0" applyNumberFormat="1" applyFont="1" applyFill="1" applyBorder="1" applyAlignment="1" applyProtection="1">
      <protection locked="0"/>
    </xf>
    <xf numFmtId="167" fontId="6" fillId="4" borderId="4" xfId="1" applyNumberFormat="1" applyFont="1" applyFill="1" applyBorder="1" applyAlignment="1" applyProtection="1">
      <protection locked="0"/>
    </xf>
    <xf numFmtId="2" fontId="6" fillId="3" borderId="4" xfId="0" applyNumberFormat="1" applyFont="1" applyFill="1" applyBorder="1"/>
    <xf numFmtId="0" fontId="30" fillId="0" borderId="0" xfId="0" applyFont="1"/>
    <xf numFmtId="1" fontId="31" fillId="0" borderId="0" xfId="0" applyNumberFormat="1" applyFont="1"/>
    <xf numFmtId="0" fontId="31" fillId="0" borderId="0" xfId="0" applyFont="1" applyAlignment="1">
      <alignment horizontal="right"/>
    </xf>
    <xf numFmtId="0" fontId="31" fillId="0" borderId="0" xfId="0" applyFont="1"/>
    <xf numFmtId="0" fontId="31" fillId="0" borderId="0" xfId="0" applyFont="1" applyAlignment="1">
      <alignment vertical="top"/>
    </xf>
    <xf numFmtId="0" fontId="31" fillId="8" borderId="0" xfId="0" applyFont="1" applyFill="1"/>
    <xf numFmtId="0" fontId="31" fillId="0" borderId="0" xfId="0" applyFont="1" applyFill="1"/>
    <xf numFmtId="0" fontId="31" fillId="9" borderId="0" xfId="0" applyFont="1" applyFill="1"/>
    <xf numFmtId="0" fontId="26" fillId="0" borderId="0" xfId="0" applyFont="1"/>
    <xf numFmtId="0" fontId="1" fillId="2" borderId="0" xfId="0" applyFont="1" applyFill="1" applyBorder="1" applyAlignment="1">
      <alignment horizontal="left" vertical="center"/>
    </xf>
    <xf numFmtId="0" fontId="32" fillId="3" borderId="0" xfId="0" applyFont="1" applyFill="1" applyBorder="1" applyAlignment="1"/>
    <xf numFmtId="0" fontId="10" fillId="3" borderId="0" xfId="0" applyFont="1" applyFill="1" applyBorder="1" applyAlignment="1"/>
    <xf numFmtId="0" fontId="7" fillId="3" borderId="0" xfId="0" applyFont="1" applyFill="1" applyAlignment="1">
      <alignment horizontal="center" wrapText="1"/>
    </xf>
    <xf numFmtId="0" fontId="6" fillId="3" borderId="0" xfId="0" applyFont="1" applyFill="1" applyBorder="1" applyAlignment="1">
      <alignment vertical="top"/>
    </xf>
    <xf numFmtId="0" fontId="32" fillId="3" borderId="0" xfId="0" applyFont="1" applyFill="1" applyBorder="1" applyAlignment="1">
      <alignment horizontal="left" vertical="center"/>
    </xf>
    <xf numFmtId="0" fontId="6" fillId="0" borderId="0" xfId="0" applyFont="1" applyFill="1" applyAlignment="1">
      <alignment horizontal="center"/>
    </xf>
    <xf numFmtId="0" fontId="3" fillId="0" borderId="0" xfId="0" applyFont="1" applyFill="1" applyBorder="1" applyAlignment="1">
      <alignment horizontal="left" vertical="center"/>
    </xf>
    <xf numFmtId="0" fontId="4" fillId="0" borderId="0" xfId="0" applyFont="1" applyBorder="1" applyAlignment="1"/>
    <xf numFmtId="2" fontId="0" fillId="0" borderId="0" xfId="0" applyNumberFormat="1" applyBorder="1" applyAlignment="1">
      <alignment horizontal="center"/>
    </xf>
    <xf numFmtId="0" fontId="1" fillId="3" borderId="5" xfId="0" applyFont="1" applyFill="1" applyBorder="1" applyAlignment="1"/>
    <xf numFmtId="0" fontId="0" fillId="3" borderId="0" xfId="0" applyFill="1" applyAlignment="1">
      <alignment horizontal="center"/>
    </xf>
    <xf numFmtId="0" fontId="6" fillId="2" borderId="12" xfId="0" applyFont="1" applyFill="1" applyBorder="1" applyAlignment="1"/>
    <xf numFmtId="0" fontId="0" fillId="3" borderId="0" xfId="0" applyFill="1" applyAlignment="1">
      <alignment horizontal="center" wrapText="1"/>
    </xf>
    <xf numFmtId="0" fontId="4" fillId="3" borderId="0" xfId="0" applyFont="1" applyFill="1" applyAlignment="1">
      <alignment vertical="center"/>
    </xf>
    <xf numFmtId="0" fontId="6" fillId="3" borderId="0" xfId="0" applyFont="1" applyFill="1" applyBorder="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left" vertical="center"/>
    </xf>
    <xf numFmtId="2" fontId="2" fillId="3" borderId="27" xfId="0" applyNumberFormat="1" applyFont="1" applyFill="1" applyBorder="1"/>
    <xf numFmtId="0" fontId="3" fillId="3" borderId="0" xfId="0" applyFont="1" applyFill="1" applyBorder="1" applyAlignment="1">
      <alignment horizontal="left" vertical="center"/>
    </xf>
    <xf numFmtId="0" fontId="6" fillId="3" borderId="0" xfId="0" applyFont="1" applyFill="1" applyAlignment="1">
      <alignment horizontal="right" shrinkToFit="1"/>
    </xf>
    <xf numFmtId="0" fontId="6" fillId="0" borderId="0" xfId="0" applyFont="1" applyFill="1" applyBorder="1" applyAlignment="1">
      <alignment horizontal="center"/>
    </xf>
    <xf numFmtId="0" fontId="0" fillId="0" borderId="0" xfId="0" applyBorder="1" applyAlignment="1">
      <alignment horizontal="center"/>
    </xf>
    <xf numFmtId="2" fontId="6" fillId="0" borderId="0" xfId="0" applyNumberFormat="1" applyFont="1" applyFill="1" applyBorder="1" applyAlignment="1">
      <alignment horizontal="center"/>
    </xf>
    <xf numFmtId="2" fontId="0" fillId="0" borderId="0" xfId="0" applyNumberFormat="1" applyFill="1" applyBorder="1" applyAlignment="1">
      <alignment horizontal="center"/>
    </xf>
    <xf numFmtId="0" fontId="3" fillId="2" borderId="0" xfId="0" applyFont="1" applyFill="1" applyAlignment="1">
      <alignment horizontal="center"/>
    </xf>
    <xf numFmtId="0" fontId="11" fillId="2" borderId="0" xfId="0" applyFont="1" applyFill="1"/>
    <xf numFmtId="0" fontId="6" fillId="3" borderId="0" xfId="0" applyFont="1" applyFill="1" applyBorder="1" applyAlignment="1">
      <alignment horizontal="centerContinuous"/>
    </xf>
    <xf numFmtId="0" fontId="34" fillId="3" borderId="0" xfId="0" applyFont="1" applyFill="1" applyBorder="1" applyAlignment="1">
      <alignment horizontal="centerContinuous"/>
    </xf>
    <xf numFmtId="0" fontId="32" fillId="3" borderId="0" xfId="0" applyFont="1" applyFill="1"/>
    <xf numFmtId="2" fontId="6" fillId="3" borderId="0" xfId="0" applyNumberFormat="1" applyFont="1" applyFill="1" applyAlignment="1">
      <alignment horizontal="right"/>
    </xf>
    <xf numFmtId="0" fontId="14" fillId="3" borderId="0" xfId="0" applyFont="1" applyFill="1"/>
    <xf numFmtId="0" fontId="3" fillId="3" borderId="0" xfId="0" applyFont="1" applyFill="1" applyBorder="1" applyAlignment="1">
      <alignment vertical="center"/>
    </xf>
    <xf numFmtId="0" fontId="0" fillId="3" borderId="0" xfId="0" applyFill="1" applyAlignment="1">
      <alignment vertical="center"/>
    </xf>
    <xf numFmtId="164" fontId="2" fillId="3" borderId="0" xfId="0" applyNumberFormat="1" applyFont="1" applyFill="1" applyBorder="1" applyAlignment="1">
      <alignment vertical="center"/>
    </xf>
    <xf numFmtId="0" fontId="6" fillId="3" borderId="0" xfId="0" applyFont="1" applyFill="1" applyBorder="1" applyAlignment="1">
      <alignment horizontal="center" vertical="center"/>
    </xf>
    <xf numFmtId="0" fontId="0" fillId="0" borderId="0" xfId="0" applyAlignment="1">
      <alignment vertical="center"/>
    </xf>
    <xf numFmtId="0" fontId="6" fillId="2" borderId="0" xfId="0" applyFont="1" applyFill="1"/>
    <xf numFmtId="168" fontId="2" fillId="4" borderId="9" xfId="0" applyNumberFormat="1" applyFont="1" applyFill="1" applyBorder="1" applyProtection="1">
      <protection locked="0"/>
    </xf>
    <xf numFmtId="0" fontId="35" fillId="3" borderId="0" xfId="0" applyFont="1" applyFill="1"/>
    <xf numFmtId="0" fontId="35" fillId="3" borderId="0" xfId="0" applyFont="1" applyFill="1" applyBorder="1"/>
    <xf numFmtId="0" fontId="6" fillId="3" borderId="0" xfId="0" applyFont="1" applyFill="1" applyAlignment="1">
      <alignment vertical="center"/>
    </xf>
    <xf numFmtId="0" fontId="32" fillId="3" borderId="0" xfId="0" applyFont="1" applyFill="1" applyBorder="1" applyAlignment="1">
      <alignment horizontal="right"/>
    </xf>
    <xf numFmtId="0" fontId="0" fillId="3" borderId="0" xfId="0" applyFill="1" applyAlignment="1">
      <alignment wrapText="1"/>
    </xf>
    <xf numFmtId="0" fontId="6" fillId="3" borderId="11" xfId="0" applyFont="1" applyFill="1" applyBorder="1" applyAlignment="1">
      <alignment horizontal="center"/>
    </xf>
    <xf numFmtId="0" fontId="6" fillId="3" borderId="0" xfId="0" applyFont="1" applyFill="1" applyBorder="1" applyAlignment="1">
      <alignment horizontal="left" vertical="center" wrapText="1"/>
    </xf>
    <xf numFmtId="0" fontId="2" fillId="3" borderId="0" xfId="0" applyFont="1" applyFill="1" applyBorder="1" applyAlignment="1">
      <alignment horizontal="center" vertical="center"/>
    </xf>
    <xf numFmtId="0" fontId="1" fillId="2" borderId="0" xfId="0" applyFont="1" applyFill="1"/>
    <xf numFmtId="0" fontId="36" fillId="2" borderId="0" xfId="0" applyFont="1" applyFill="1"/>
    <xf numFmtId="0" fontId="10" fillId="2" borderId="0" xfId="0" applyFont="1" applyFill="1"/>
    <xf numFmtId="0" fontId="36" fillId="3" borderId="0" xfId="0" applyFont="1" applyFill="1"/>
    <xf numFmtId="0" fontId="6" fillId="3" borderId="26" xfId="0" applyFont="1" applyFill="1" applyBorder="1" applyAlignment="1">
      <alignment horizontal="left"/>
    </xf>
    <xf numFmtId="0" fontId="6" fillId="3" borderId="26" xfId="0" applyFont="1" applyFill="1" applyBorder="1" applyAlignment="1">
      <alignment horizontal="right"/>
    </xf>
    <xf numFmtId="2" fontId="6" fillId="3" borderId="26" xfId="0" applyNumberFormat="1" applyFont="1" applyFill="1" applyBorder="1"/>
    <xf numFmtId="0" fontId="6" fillId="3" borderId="26" xfId="0" applyFont="1" applyFill="1" applyBorder="1"/>
    <xf numFmtId="2" fontId="6" fillId="3" borderId="28" xfId="0" applyNumberFormat="1" applyFont="1" applyFill="1" applyBorder="1" applyAlignment="1">
      <alignment horizontal="right" vertical="center"/>
    </xf>
    <xf numFmtId="0" fontId="6" fillId="3" borderId="1" xfId="0" applyFont="1" applyFill="1" applyBorder="1" applyAlignment="1">
      <alignment horizontal="left"/>
    </xf>
    <xf numFmtId="0" fontId="6" fillId="3" borderId="3" xfId="0" applyFont="1" applyFill="1" applyBorder="1" applyAlignment="1">
      <alignment horizontal="center"/>
    </xf>
    <xf numFmtId="0" fontId="37" fillId="3" borderId="0" xfId="0" applyFont="1" applyFill="1"/>
    <xf numFmtId="0" fontId="37" fillId="3" borderId="0" xfId="0" applyFont="1" applyFill="1" applyBorder="1"/>
    <xf numFmtId="0" fontId="6" fillId="3" borderId="11" xfId="0" applyFont="1" applyFill="1" applyBorder="1" applyAlignment="1">
      <alignment vertical="center"/>
    </xf>
    <xf numFmtId="2" fontId="16" fillId="3" borderId="0" xfId="0" applyNumberFormat="1" applyFont="1" applyFill="1" applyBorder="1"/>
    <xf numFmtId="0" fontId="4" fillId="0" borderId="0" xfId="0" applyFont="1" applyBorder="1" applyAlignment="1">
      <alignment horizontal="center"/>
    </xf>
    <xf numFmtId="0" fontId="2" fillId="0" borderId="11" xfId="0" applyFont="1" applyFill="1" applyBorder="1" applyAlignment="1">
      <alignment horizontal="left"/>
    </xf>
    <xf numFmtId="2" fontId="2" fillId="0" borderId="0" xfId="0" applyNumberFormat="1" applyFont="1" applyFill="1" applyBorder="1" applyAlignment="1">
      <alignment horizontal="center"/>
    </xf>
    <xf numFmtId="0" fontId="2" fillId="0" borderId="15" xfId="0" applyFont="1" applyFill="1" applyBorder="1" applyAlignment="1">
      <alignment horizontal="left"/>
    </xf>
    <xf numFmtId="2" fontId="2" fillId="0" borderId="12" xfId="0" applyNumberFormat="1" applyFont="1" applyFill="1" applyBorder="1" applyAlignment="1">
      <alignment horizontal="center"/>
    </xf>
    <xf numFmtId="2" fontId="6" fillId="0" borderId="0" xfId="0" applyNumberFormat="1" applyFont="1" applyBorder="1" applyAlignment="1">
      <alignment horizontal="center"/>
    </xf>
    <xf numFmtId="0" fontId="6" fillId="0" borderId="0" xfId="0" applyFont="1" applyBorder="1"/>
    <xf numFmtId="0" fontId="12" fillId="0" borderId="0" xfId="0" applyFont="1"/>
    <xf numFmtId="0" fontId="0" fillId="0" borderId="0" xfId="0" applyFill="1" applyBorder="1" applyAlignment="1">
      <alignment horizontal="center"/>
    </xf>
    <xf numFmtId="0" fontId="0" fillId="0" borderId="11" xfId="0" applyBorder="1" applyAlignment="1"/>
    <xf numFmtId="0" fontId="38" fillId="0" borderId="0" xfId="0" applyFont="1" applyAlignment="1">
      <alignment horizontal="right"/>
    </xf>
    <xf numFmtId="0" fontId="38" fillId="0" borderId="0" xfId="0" applyFont="1"/>
    <xf numFmtId="0" fontId="0" fillId="0" borderId="11" xfId="0" applyBorder="1" applyAlignment="1">
      <alignment horizontal="center"/>
    </xf>
    <xf numFmtId="0" fontId="0" fillId="0" borderId="11" xfId="0" applyFill="1" applyBorder="1"/>
    <xf numFmtId="0" fontId="0" fillId="0" borderId="11" xfId="0" applyFill="1" applyBorder="1" applyAlignment="1">
      <alignment horizontal="center"/>
    </xf>
    <xf numFmtId="2" fontId="0" fillId="0" borderId="10" xfId="0" applyNumberFormat="1" applyBorder="1" applyAlignment="1">
      <alignment horizontal="center"/>
    </xf>
    <xf numFmtId="0" fontId="0" fillId="0" borderId="15" xfId="0" applyFill="1" applyBorder="1"/>
    <xf numFmtId="0" fontId="10" fillId="0" borderId="0" xfId="0" applyFont="1" applyAlignment="1">
      <alignment horizontal="center"/>
    </xf>
    <xf numFmtId="2" fontId="0" fillId="0" borderId="10" xfId="0" applyNumberFormat="1" applyFill="1" applyBorder="1" applyAlignment="1">
      <alignment horizontal="center"/>
    </xf>
    <xf numFmtId="0" fontId="3" fillId="0" borderId="0" xfId="0" applyFont="1" applyAlignment="1">
      <alignment horizontal="right"/>
    </xf>
    <xf numFmtId="0" fontId="0" fillId="0" borderId="10" xfId="0" applyFill="1" applyBorder="1" applyAlignment="1">
      <alignment horizontal="center"/>
    </xf>
    <xf numFmtId="0" fontId="0" fillId="0" borderId="16" xfId="0" applyFill="1" applyBorder="1" applyAlignment="1">
      <alignment horizontal="center"/>
    </xf>
    <xf numFmtId="0" fontId="0" fillId="0" borderId="15" xfId="0" applyFill="1" applyBorder="1" applyAlignment="1">
      <alignment horizontal="center"/>
    </xf>
    <xf numFmtId="2" fontId="0" fillId="0" borderId="16" xfId="0" applyNumberFormat="1" applyBorder="1" applyAlignment="1">
      <alignment horizontal="center"/>
    </xf>
    <xf numFmtId="0" fontId="0" fillId="0" borderId="10" xfId="0" applyBorder="1" applyAlignment="1"/>
    <xf numFmtId="49" fontId="0" fillId="0" borderId="11" xfId="0" applyNumberFormat="1" applyFill="1" applyBorder="1" applyAlignment="1">
      <alignment horizontal="center"/>
    </xf>
    <xf numFmtId="2" fontId="6" fillId="0" borderId="11" xfId="0" applyNumberFormat="1" applyFont="1" applyBorder="1" applyAlignment="1">
      <alignment horizontal="center"/>
    </xf>
    <xf numFmtId="2" fontId="6" fillId="0" borderId="23" xfId="0" applyNumberFormat="1" applyFont="1" applyBorder="1" applyAlignment="1">
      <alignment horizontal="center"/>
    </xf>
    <xf numFmtId="2" fontId="6" fillId="0" borderId="15" xfId="0" applyNumberFormat="1" applyFont="1" applyBorder="1" applyAlignment="1">
      <alignment horizontal="center"/>
    </xf>
    <xf numFmtId="0" fontId="0" fillId="13" borderId="0" xfId="0" applyFill="1"/>
    <xf numFmtId="0" fontId="41" fillId="2" borderId="4" xfId="0" applyFont="1" applyFill="1" applyBorder="1" applyAlignment="1"/>
    <xf numFmtId="0" fontId="41" fillId="2" borderId="4" xfId="0" applyFont="1" applyFill="1" applyBorder="1"/>
    <xf numFmtId="0" fontId="41" fillId="3" borderId="0" xfId="0" applyFont="1" applyFill="1" applyBorder="1" applyAlignment="1"/>
    <xf numFmtId="0" fontId="41" fillId="3" borderId="0" xfId="0" applyFont="1" applyFill="1"/>
    <xf numFmtId="0" fontId="41" fillId="0" borderId="0" xfId="0" applyFont="1" applyFill="1" applyBorder="1" applyAlignment="1"/>
    <xf numFmtId="0" fontId="41" fillId="0" borderId="0" xfId="0" applyFont="1" applyFill="1"/>
    <xf numFmtId="0" fontId="0" fillId="0" borderId="9" xfId="0" applyBorder="1"/>
    <xf numFmtId="2" fontId="6" fillId="0" borderId="0" xfId="0" applyNumberFormat="1" applyFont="1" applyBorder="1"/>
    <xf numFmtId="1" fontId="2" fillId="6" borderId="9" xfId="0" applyNumberFormat="1" applyFont="1" applyFill="1" applyBorder="1" applyAlignment="1"/>
    <xf numFmtId="2" fontId="2" fillId="3" borderId="9" xfId="0" applyNumberFormat="1" applyFont="1" applyFill="1" applyBorder="1" applyAlignment="1"/>
    <xf numFmtId="164" fontId="2" fillId="3" borderId="9" xfId="0" applyNumberFormat="1" applyFont="1" applyFill="1" applyBorder="1" applyAlignment="1"/>
    <xf numFmtId="0" fontId="1" fillId="0" borderId="18" xfId="0" applyFont="1" applyBorder="1" applyAlignment="1">
      <alignment wrapText="1"/>
    </xf>
    <xf numFmtId="0" fontId="2" fillId="0" borderId="29" xfId="0" applyFont="1" applyBorder="1" applyAlignment="1">
      <alignment vertical="top" wrapText="1"/>
    </xf>
    <xf numFmtId="0" fontId="2" fillId="0" borderId="11" xfId="0" applyFont="1" applyBorder="1" applyAlignment="1">
      <alignment vertical="top" wrapText="1"/>
    </xf>
    <xf numFmtId="0" fontId="2" fillId="0" borderId="15" xfId="0" applyFont="1" applyBorder="1" applyAlignment="1">
      <alignment vertical="top" wrapText="1"/>
    </xf>
    <xf numFmtId="0" fontId="2" fillId="0" borderId="6" xfId="0" applyFont="1" applyFill="1" applyBorder="1" applyAlignment="1">
      <alignment vertical="top" wrapText="1"/>
    </xf>
    <xf numFmtId="0" fontId="1" fillId="0" borderId="0" xfId="0" applyFont="1" applyBorder="1" applyAlignment="1"/>
    <xf numFmtId="0" fontId="2" fillId="0" borderId="14" xfId="0" applyFont="1" applyBorder="1" applyAlignment="1"/>
    <xf numFmtId="0" fontId="2" fillId="0" borderId="10" xfId="0" applyFont="1" applyBorder="1" applyAlignment="1"/>
    <xf numFmtId="0" fontId="2" fillId="0" borderId="16" xfId="0" applyFont="1" applyBorder="1" applyAlignment="1"/>
    <xf numFmtId="0" fontId="2" fillId="0" borderId="0" xfId="0" applyFont="1" applyBorder="1" applyAlignment="1">
      <alignment horizontal="right" vertical="center"/>
    </xf>
    <xf numFmtId="0" fontId="2" fillId="0" borderId="12" xfId="0" applyFont="1" applyBorder="1" applyAlignment="1">
      <alignment horizontal="right" vertical="center"/>
    </xf>
    <xf numFmtId="0" fontId="27" fillId="3" borderId="5" xfId="0" applyFont="1" applyFill="1" applyBorder="1" applyAlignment="1">
      <alignment vertical="center"/>
    </xf>
    <xf numFmtId="14" fontId="0" fillId="0" borderId="0" xfId="0" applyNumberFormat="1"/>
    <xf numFmtId="166" fontId="6" fillId="4" borderId="4" xfId="0" applyNumberFormat="1" applyFont="1" applyFill="1" applyBorder="1" applyAlignment="1" applyProtection="1">
      <protection locked="0"/>
    </xf>
    <xf numFmtId="0" fontId="2" fillId="3" borderId="0" xfId="0" applyFont="1" applyFill="1" applyBorder="1" applyAlignment="1">
      <alignment horizontal="right"/>
    </xf>
    <xf numFmtId="0" fontId="0" fillId="3" borderId="0" xfId="0" applyFill="1" applyBorder="1" applyAlignment="1">
      <alignment horizontal="right"/>
    </xf>
    <xf numFmtId="1" fontId="2" fillId="3" borderId="0" xfId="0" applyNumberFormat="1" applyFont="1" applyFill="1" applyBorder="1" applyAlignment="1">
      <alignment horizontal="right"/>
    </xf>
    <xf numFmtId="1" fontId="0" fillId="3" borderId="0" xfId="0" applyNumberFormat="1" applyFill="1" applyBorder="1" applyAlignment="1">
      <alignment horizontal="right"/>
    </xf>
    <xf numFmtId="1" fontId="6" fillId="3" borderId="0" xfId="0" applyNumberFormat="1" applyFont="1" applyFill="1" applyBorder="1" applyAlignment="1">
      <alignment horizontal="right"/>
    </xf>
    <xf numFmtId="14" fontId="0" fillId="3" borderId="0" xfId="0" applyNumberFormat="1" applyFill="1" applyAlignment="1">
      <alignment horizontal="right"/>
    </xf>
    <xf numFmtId="0" fontId="47" fillId="9" borderId="0" xfId="0" applyFont="1" applyFill="1" applyBorder="1" applyAlignment="1"/>
    <xf numFmtId="0" fontId="48" fillId="3" borderId="12" xfId="0" applyFont="1" applyFill="1" applyBorder="1"/>
    <xf numFmtId="0" fontId="6" fillId="8" borderId="0" xfId="0" applyFont="1" applyFill="1"/>
    <xf numFmtId="0" fontId="27" fillId="14" borderId="0" xfId="0" applyFont="1" applyFill="1" applyBorder="1" applyAlignment="1"/>
    <xf numFmtId="0" fontId="3" fillId="14" borderId="0" xfId="0" applyFont="1" applyFill="1" applyBorder="1" applyAlignment="1"/>
    <xf numFmtId="0" fontId="4" fillId="14" borderId="0" xfId="0" applyFont="1" applyFill="1" applyBorder="1" applyAlignment="1"/>
    <xf numFmtId="0" fontId="3" fillId="14" borderId="0" xfId="0" applyFont="1" applyFill="1" applyBorder="1" applyAlignment="1">
      <alignment vertical="top"/>
    </xf>
    <xf numFmtId="0" fontId="6" fillId="14" borderId="0" xfId="0" applyFont="1" applyFill="1" applyBorder="1" applyAlignment="1">
      <alignment horizontal="right"/>
    </xf>
    <xf numFmtId="0" fontId="6" fillId="14" borderId="0" xfId="0" applyFont="1" applyFill="1" applyBorder="1" applyAlignment="1"/>
    <xf numFmtId="0" fontId="3" fillId="14" borderId="0" xfId="0" applyFont="1" applyFill="1"/>
    <xf numFmtId="0" fontId="0" fillId="14" borderId="0" xfId="0" applyFill="1"/>
    <xf numFmtId="0" fontId="25" fillId="14" borderId="0" xfId="0" applyFont="1" applyFill="1" applyBorder="1" applyAlignment="1"/>
    <xf numFmtId="0" fontId="3" fillId="14" borderId="0" xfId="0" applyFont="1" applyFill="1" applyBorder="1" applyAlignment="1">
      <alignment horizontal="right"/>
    </xf>
    <xf numFmtId="0" fontId="23" fillId="14" borderId="0" xfId="0" applyFont="1" applyFill="1"/>
    <xf numFmtId="0" fontId="0" fillId="14" borderId="0" xfId="0" applyFill="1" applyBorder="1" applyAlignment="1">
      <alignment vertical="top"/>
    </xf>
    <xf numFmtId="0" fontId="0" fillId="14" borderId="0" xfId="0" applyFill="1" applyBorder="1"/>
    <xf numFmtId="0" fontId="3" fillId="14" borderId="0" xfId="0" applyFont="1" applyFill="1" applyBorder="1"/>
    <xf numFmtId="0" fontId="6" fillId="14" borderId="0" xfId="0" applyFont="1" applyFill="1"/>
    <xf numFmtId="0" fontId="6" fillId="14" borderId="0" xfId="0" applyFont="1" applyFill="1" applyBorder="1" applyAlignment="1">
      <alignment horizontal="left"/>
    </xf>
    <xf numFmtId="0" fontId="3" fillId="14" borderId="0" xfId="0" quotePrefix="1" applyFont="1" applyFill="1" applyBorder="1" applyAlignment="1">
      <alignment horizontal="right"/>
    </xf>
    <xf numFmtId="0" fontId="6" fillId="14" borderId="0" xfId="0" applyFont="1" applyFill="1" applyBorder="1"/>
    <xf numFmtId="0" fontId="6" fillId="14" borderId="0" xfId="0" applyFont="1" applyFill="1" applyBorder="1" applyAlignment="1">
      <alignment horizontal="center"/>
    </xf>
    <xf numFmtId="2" fontId="2" fillId="14" borderId="0" xfId="0" applyNumberFormat="1" applyFont="1" applyFill="1" applyBorder="1"/>
    <xf numFmtId="0" fontId="2" fillId="0" borderId="0" xfId="0" applyFont="1" applyFill="1" applyBorder="1" applyAlignment="1"/>
    <xf numFmtId="0" fontId="1" fillId="5" borderId="0" xfId="0" applyFont="1" applyFill="1" applyBorder="1" applyAlignment="1"/>
    <xf numFmtId="0" fontId="49" fillId="5" borderId="0" xfId="0" applyFont="1" applyFill="1"/>
    <xf numFmtId="0" fontId="2" fillId="5" borderId="0" xfId="0" applyFont="1" applyFill="1" applyBorder="1" applyAlignment="1">
      <alignment horizontal="right"/>
    </xf>
    <xf numFmtId="0" fontId="2" fillId="5" borderId="0" xfId="0" applyFont="1" applyFill="1" applyBorder="1" applyAlignment="1"/>
    <xf numFmtId="0" fontId="2" fillId="5" borderId="0" xfId="0" applyFont="1" applyFill="1"/>
    <xf numFmtId="0" fontId="51" fillId="5" borderId="0" xfId="0" applyFont="1" applyFill="1"/>
    <xf numFmtId="0" fontId="52" fillId="7" borderId="0" xfId="0" applyFont="1" applyFill="1"/>
    <xf numFmtId="0" fontId="53" fillId="0" borderId="0" xfId="0" applyFont="1"/>
    <xf numFmtId="0" fontId="51" fillId="0" borderId="0" xfId="0" applyFont="1"/>
    <xf numFmtId="0" fontId="1" fillId="0" borderId="12" xfId="0" applyFont="1" applyBorder="1" applyAlignment="1">
      <alignment horizontal="center"/>
    </xf>
    <xf numFmtId="0" fontId="6" fillId="3" borderId="0" xfId="0" applyFont="1" applyFill="1" applyBorder="1" applyAlignment="1">
      <alignment horizontal="center"/>
    </xf>
    <xf numFmtId="0" fontId="0" fillId="0" borderId="0" xfId="0" applyAlignment="1">
      <alignment horizontal="center"/>
    </xf>
    <xf numFmtId="1" fontId="2" fillId="3" borderId="6" xfId="0" applyNumberFormat="1" applyFont="1" applyFill="1" applyBorder="1" applyAlignment="1"/>
    <xf numFmtId="0" fontId="0" fillId="0" borderId="8" xfId="0" applyBorder="1" applyAlignment="1"/>
    <xf numFmtId="0" fontId="0" fillId="0" borderId="0" xfId="0" applyAlignment="1"/>
    <xf numFmtId="0" fontId="6" fillId="3" borderId="0" xfId="0" applyFont="1" applyFill="1" applyBorder="1" applyAlignment="1">
      <alignment horizontal="left" vertical="center" wrapText="1"/>
    </xf>
    <xf numFmtId="2" fontId="2" fillId="3" borderId="13" xfId="0" applyNumberFormat="1" applyFont="1" applyFill="1" applyBorder="1" applyAlignment="1">
      <alignment horizontal="center" vertical="center"/>
    </xf>
    <xf numFmtId="2" fontId="0" fillId="0" borderId="14" xfId="0" applyNumberFormat="1" applyBorder="1" applyAlignment="1">
      <alignment horizontal="center" vertical="center"/>
    </xf>
    <xf numFmtId="2" fontId="0" fillId="0" borderId="15" xfId="0" applyNumberFormat="1" applyBorder="1" applyAlignment="1">
      <alignment horizontal="center" vertical="center"/>
    </xf>
    <xf numFmtId="2" fontId="0" fillId="0" borderId="16" xfId="0" applyNumberFormat="1" applyBorder="1" applyAlignment="1">
      <alignment horizontal="center" vertical="center"/>
    </xf>
    <xf numFmtId="0" fontId="6" fillId="3" borderId="1" xfId="0" applyFont="1" applyFill="1" applyBorder="1" applyAlignment="1">
      <alignment horizontal="left" wrapText="1"/>
    </xf>
    <xf numFmtId="0" fontId="0" fillId="0" borderId="3" xfId="0" applyBorder="1" applyAlignment="1"/>
    <xf numFmtId="0" fontId="2" fillId="4" borderId="6" xfId="0" applyFont="1" applyFill="1" applyBorder="1" applyAlignment="1"/>
    <xf numFmtId="0" fontId="2" fillId="4" borderId="8" xfId="0" applyFont="1" applyFill="1" applyBorder="1" applyAlignment="1"/>
    <xf numFmtId="9" fontId="2" fillId="4" borderId="6" xfId="0" applyNumberFormat="1" applyFont="1" applyFill="1" applyBorder="1" applyAlignment="1"/>
    <xf numFmtId="2" fontId="2" fillId="4" borderId="6" xfId="0" applyNumberFormat="1" applyFont="1" applyFill="1" applyBorder="1" applyAlignment="1" applyProtection="1">
      <protection locked="0"/>
    </xf>
    <xf numFmtId="0" fontId="0" fillId="4" borderId="8" xfId="0" applyFill="1" applyBorder="1" applyAlignment="1"/>
    <xf numFmtId="0" fontId="0" fillId="3" borderId="8" xfId="0" applyFill="1" applyBorder="1" applyAlignment="1"/>
    <xf numFmtId="2" fontId="2" fillId="3" borderId="6" xfId="0" applyNumberFormat="1" applyFont="1" applyFill="1" applyBorder="1" applyAlignment="1"/>
    <xf numFmtId="2" fontId="0" fillId="0" borderId="8" xfId="0" applyNumberFormat="1" applyBorder="1" applyAlignment="1"/>
    <xf numFmtId="0" fontId="6" fillId="2" borderId="0" xfId="0" applyFont="1" applyFill="1" applyAlignment="1">
      <alignment horizontal="center" vertical="center" wrapText="1"/>
    </xf>
    <xf numFmtId="0" fontId="0" fillId="0" borderId="0" xfId="0" applyAlignment="1">
      <alignment wrapText="1"/>
    </xf>
    <xf numFmtId="0" fontId="6" fillId="0" borderId="12" xfId="0" applyFont="1" applyBorder="1" applyAlignment="1">
      <alignment horizontal="center" vertical="center" wrapText="1"/>
    </xf>
    <xf numFmtId="0" fontId="0" fillId="0" borderId="12" xfId="0" applyBorder="1" applyAlignment="1">
      <alignment wrapText="1"/>
    </xf>
    <xf numFmtId="2" fontId="2" fillId="3" borderId="0" xfId="0" applyNumberFormat="1" applyFont="1" applyFill="1" applyBorder="1" applyAlignment="1"/>
    <xf numFmtId="166" fontId="2" fillId="3" borderId="6" xfId="0" applyNumberFormat="1" applyFont="1" applyFill="1" applyBorder="1" applyAlignment="1">
      <alignment vertical="center"/>
    </xf>
    <xf numFmtId="166" fontId="2" fillId="3" borderId="8" xfId="0" applyNumberFormat="1" applyFont="1" applyFill="1" applyBorder="1" applyAlignment="1">
      <alignment vertical="center"/>
    </xf>
    <xf numFmtId="0" fontId="1" fillId="2" borderId="0" xfId="0" applyFont="1" applyFill="1" applyBorder="1" applyAlignment="1">
      <alignment horizontal="left" vertical="center"/>
    </xf>
    <xf numFmtId="0" fontId="2" fillId="2" borderId="0" xfId="0" applyFont="1" applyFill="1" applyAlignment="1">
      <alignment horizontal="left" vertical="center"/>
    </xf>
    <xf numFmtId="0" fontId="23" fillId="0" borderId="0" xfId="0" applyFont="1" applyAlignment="1"/>
    <xf numFmtId="0" fontId="2" fillId="4" borderId="1" xfId="0" applyFont="1" applyFill="1" applyBorder="1" applyAlignment="1" applyProtection="1">
      <protection locked="0"/>
    </xf>
    <xf numFmtId="0" fontId="0" fillId="4" borderId="2" xfId="0" applyFill="1" applyBorder="1" applyAlignment="1"/>
    <xf numFmtId="0" fontId="0" fillId="4" borderId="3" xfId="0" applyFill="1" applyBorder="1" applyAlignment="1"/>
    <xf numFmtId="0" fontId="2" fillId="4" borderId="1" xfId="0" applyFont="1" applyFill="1" applyBorder="1" applyAlignment="1"/>
    <xf numFmtId="0" fontId="2" fillId="4" borderId="3" xfId="0" applyFont="1" applyFill="1" applyBorder="1" applyAlignment="1"/>
    <xf numFmtId="2" fontId="2" fillId="6" borderId="6" xfId="0" applyNumberFormat="1" applyFont="1" applyFill="1" applyBorder="1" applyAlignment="1" applyProtection="1">
      <alignment horizontal="right"/>
    </xf>
    <xf numFmtId="0" fontId="0" fillId="6" borderId="7" xfId="0" applyFill="1" applyBorder="1" applyAlignment="1" applyProtection="1">
      <alignment horizontal="right"/>
    </xf>
    <xf numFmtId="0" fontId="0" fillId="6" borderId="8" xfId="0" applyFill="1" applyBorder="1" applyAlignment="1" applyProtection="1">
      <alignment horizontal="right"/>
    </xf>
    <xf numFmtId="0" fontId="0" fillId="0" borderId="7" xfId="0" applyBorder="1" applyAlignment="1"/>
    <xf numFmtId="1" fontId="2" fillId="4" borderId="13" xfId="1" applyNumberFormat="1" applyFont="1" applyFill="1" applyBorder="1" applyAlignment="1">
      <alignment horizontal="right"/>
    </xf>
    <xf numFmtId="1" fontId="2" fillId="4" borderId="17" xfId="1" applyNumberFormat="1" applyFont="1" applyFill="1" applyBorder="1" applyAlignment="1">
      <alignment horizontal="right"/>
    </xf>
    <xf numFmtId="1" fontId="2" fillId="4" borderId="14" xfId="1" applyNumberFormat="1" applyFont="1" applyFill="1" applyBorder="1" applyAlignment="1">
      <alignment horizontal="right"/>
    </xf>
    <xf numFmtId="1" fontId="2" fillId="4" borderId="11" xfId="1" applyNumberFormat="1" applyFont="1" applyFill="1" applyBorder="1" applyAlignment="1">
      <alignment horizontal="right"/>
    </xf>
    <xf numFmtId="1" fontId="2" fillId="4" borderId="0" xfId="1" applyNumberFormat="1" applyFont="1" applyFill="1" applyBorder="1" applyAlignment="1">
      <alignment horizontal="right"/>
    </xf>
    <xf numFmtId="1" fontId="2" fillId="4" borderId="10" xfId="1" applyNumberFormat="1" applyFont="1" applyFill="1" applyBorder="1" applyAlignment="1">
      <alignment horizontal="right"/>
    </xf>
    <xf numFmtId="1" fontId="2" fillId="4" borderId="6" xfId="1" applyNumberFormat="1" applyFont="1" applyFill="1" applyBorder="1" applyAlignment="1">
      <alignment horizontal="right"/>
    </xf>
    <xf numFmtId="1" fontId="2" fillId="4" borderId="7" xfId="1" applyNumberFormat="1" applyFont="1" applyFill="1" applyBorder="1" applyAlignment="1">
      <alignment horizontal="right"/>
    </xf>
    <xf numFmtId="1" fontId="2" fillId="4" borderId="8" xfId="1" applyNumberFormat="1" applyFont="1" applyFill="1" applyBorder="1" applyAlignment="1">
      <alignment horizontal="right"/>
    </xf>
    <xf numFmtId="2" fontId="2" fillId="4" borderId="13" xfId="1" applyNumberFormat="1" applyFont="1" applyFill="1" applyBorder="1" applyAlignment="1">
      <alignment horizontal="right"/>
    </xf>
    <xf numFmtId="2" fontId="2" fillId="4" borderId="17" xfId="1" applyNumberFormat="1" applyFont="1" applyFill="1" applyBorder="1" applyAlignment="1">
      <alignment horizontal="right"/>
    </xf>
    <xf numFmtId="2" fontId="2" fillId="4" borderId="14" xfId="1" applyNumberFormat="1" applyFont="1" applyFill="1" applyBorder="1" applyAlignment="1">
      <alignment horizontal="right"/>
    </xf>
    <xf numFmtId="2" fontId="2" fillId="4" borderId="11" xfId="1" applyNumberFormat="1" applyFont="1" applyFill="1" applyBorder="1" applyAlignment="1">
      <alignment horizontal="right"/>
    </xf>
    <xf numFmtId="2" fontId="2" fillId="4" borderId="0" xfId="1" applyNumberFormat="1" applyFont="1" applyFill="1" applyBorder="1" applyAlignment="1">
      <alignment horizontal="right"/>
    </xf>
    <xf numFmtId="2" fontId="2" fillId="4" borderId="10" xfId="1" applyNumberFormat="1" applyFont="1" applyFill="1" applyBorder="1" applyAlignment="1">
      <alignment horizontal="right"/>
    </xf>
    <xf numFmtId="2" fontId="2" fillId="4" borderId="15" xfId="1" applyNumberFormat="1" applyFont="1" applyFill="1" applyBorder="1" applyAlignment="1">
      <alignment horizontal="right"/>
    </xf>
    <xf numFmtId="2" fontId="2" fillId="4" borderId="12" xfId="1" applyNumberFormat="1" applyFont="1" applyFill="1" applyBorder="1" applyAlignment="1">
      <alignment horizontal="right"/>
    </xf>
    <xf numFmtId="2" fontId="2" fillId="4" borderId="16" xfId="1" applyNumberFormat="1" applyFont="1" applyFill="1" applyBorder="1" applyAlignment="1">
      <alignment horizontal="right"/>
    </xf>
    <xf numFmtId="1" fontId="2" fillId="4" borderId="15" xfId="1" applyNumberFormat="1" applyFont="1" applyFill="1" applyBorder="1" applyAlignment="1">
      <alignment horizontal="right"/>
    </xf>
    <xf numFmtId="1" fontId="2" fillId="4" borderId="12" xfId="1" applyNumberFormat="1" applyFont="1" applyFill="1" applyBorder="1" applyAlignment="1">
      <alignment horizontal="right"/>
    </xf>
    <xf numFmtId="1" fontId="2" fillId="4" borderId="16" xfId="1" applyNumberFormat="1" applyFont="1" applyFill="1" applyBorder="1" applyAlignment="1">
      <alignment horizontal="right"/>
    </xf>
    <xf numFmtId="1" fontId="2" fillId="4" borderId="6" xfId="0" applyNumberFormat="1" applyFont="1" applyFill="1" applyBorder="1" applyAlignment="1">
      <alignment horizontal="right"/>
    </xf>
    <xf numFmtId="2" fontId="2" fillId="4" borderId="6" xfId="1" applyNumberFormat="1" applyFont="1" applyFill="1" applyBorder="1" applyAlignment="1">
      <alignment horizontal="right"/>
    </xf>
    <xf numFmtId="2" fontId="2" fillId="4" borderId="7" xfId="1" applyNumberFormat="1" applyFont="1" applyFill="1" applyBorder="1" applyAlignment="1">
      <alignment horizontal="right"/>
    </xf>
    <xf numFmtId="2" fontId="2" fillId="4" borderId="8" xfId="1" applyNumberFormat="1" applyFont="1" applyFill="1" applyBorder="1" applyAlignment="1">
      <alignment horizontal="right"/>
    </xf>
    <xf numFmtId="1" fontId="2" fillId="3" borderId="6" xfId="0" applyNumberFormat="1" applyFont="1" applyFill="1" applyBorder="1" applyAlignment="1">
      <alignment horizontal="right" vertical="center"/>
    </xf>
    <xf numFmtId="1" fontId="2" fillId="3" borderId="8" xfId="0" applyNumberFormat="1" applyFont="1" applyFill="1" applyBorder="1" applyAlignment="1">
      <alignment horizontal="right"/>
    </xf>
    <xf numFmtId="0" fontId="2" fillId="3" borderId="6" xfId="0" applyFont="1" applyFill="1" applyBorder="1" applyAlignment="1" applyProtection="1"/>
    <xf numFmtId="0" fontId="2" fillId="0" borderId="8" xfId="0" applyFont="1" applyBorder="1" applyAlignment="1" applyProtection="1"/>
    <xf numFmtId="0" fontId="6" fillId="2" borderId="0" xfId="0" applyFont="1" applyFill="1" applyBorder="1" applyAlignment="1">
      <alignment horizontal="center" vertical="center" wrapText="1"/>
    </xf>
    <xf numFmtId="0" fontId="6" fillId="0" borderId="0" xfId="0" applyFont="1" applyAlignment="1">
      <alignment horizontal="center" vertical="center" wrapText="1"/>
    </xf>
    <xf numFmtId="0" fontId="6" fillId="0" borderId="12" xfId="0" applyFont="1" applyBorder="1" applyAlignment="1"/>
    <xf numFmtId="1" fontId="6" fillId="6" borderId="18" xfId="0" applyNumberFormat="1" applyFont="1" applyFill="1" applyBorder="1" applyAlignment="1">
      <alignment horizontal="right"/>
    </xf>
    <xf numFmtId="1" fontId="6" fillId="6" borderId="19" xfId="0" applyNumberFormat="1" applyFont="1" applyFill="1" applyBorder="1" applyAlignment="1">
      <alignment horizontal="right"/>
    </xf>
    <xf numFmtId="1" fontId="6" fillId="6" borderId="20" xfId="0" applyNumberFormat="1" applyFont="1" applyFill="1" applyBorder="1" applyAlignment="1">
      <alignment horizontal="right"/>
    </xf>
    <xf numFmtId="0" fontId="3" fillId="0" borderId="8" xfId="0" applyFont="1" applyBorder="1" applyAlignment="1"/>
    <xf numFmtId="0" fontId="3" fillId="3" borderId="8" xfId="0" applyFont="1" applyFill="1" applyBorder="1" applyAlignment="1"/>
    <xf numFmtId="0" fontId="6" fillId="3" borderId="0" xfId="0" applyFont="1" applyFill="1" applyBorder="1" applyAlignment="1">
      <alignment vertical="top" wrapText="1"/>
    </xf>
    <xf numFmtId="0" fontId="6" fillId="3" borderId="4" xfId="0" applyFont="1" applyFill="1" applyBorder="1" applyAlignment="1">
      <alignment vertical="top" wrapText="1"/>
    </xf>
    <xf numFmtId="2" fontId="3" fillId="3" borderId="8" xfId="0" applyNumberFormat="1" applyFont="1" applyFill="1" applyBorder="1" applyAlignment="1"/>
    <xf numFmtId="0" fontId="6" fillId="0" borderId="0" xfId="0" applyFont="1" applyAlignment="1">
      <alignment horizontal="center" vertical="center"/>
    </xf>
    <xf numFmtId="0" fontId="6" fillId="0" borderId="12" xfId="0" applyFont="1" applyBorder="1" applyAlignment="1">
      <alignment horizontal="center" vertical="center"/>
    </xf>
    <xf numFmtId="168" fontId="2" fillId="4" borderId="6" xfId="0" applyNumberFormat="1" applyFont="1" applyFill="1" applyBorder="1" applyAlignment="1" applyProtection="1">
      <protection locked="0"/>
    </xf>
    <xf numFmtId="168" fontId="0" fillId="4" borderId="8" xfId="0" applyNumberFormat="1" applyFill="1" applyBorder="1" applyAlignment="1"/>
    <xf numFmtId="2" fontId="2" fillId="3" borderId="6" xfId="0" applyNumberFormat="1" applyFont="1" applyFill="1" applyBorder="1" applyAlignment="1" applyProtection="1"/>
    <xf numFmtId="0" fontId="0" fillId="3" borderId="8" xfId="0" applyFill="1" applyBorder="1" applyAlignment="1" applyProtection="1"/>
    <xf numFmtId="166" fontId="2" fillId="3" borderId="6" xfId="0" applyNumberFormat="1" applyFont="1" applyFill="1" applyBorder="1" applyAlignment="1">
      <alignment horizontal="right"/>
    </xf>
    <xf numFmtId="166" fontId="0" fillId="3" borderId="8" xfId="0" applyNumberFormat="1" applyFill="1" applyBorder="1" applyAlignment="1">
      <alignment horizontal="right"/>
    </xf>
    <xf numFmtId="2" fontId="11" fillId="3" borderId="6" xfId="0" applyNumberFormat="1" applyFont="1" applyFill="1" applyBorder="1" applyAlignment="1"/>
    <xf numFmtId="0" fontId="11" fillId="3" borderId="8" xfId="0" applyFont="1" applyFill="1" applyBorder="1" applyAlignment="1"/>
    <xf numFmtId="0" fontId="6" fillId="3" borderId="0" xfId="0" applyFont="1" applyFill="1" applyAlignment="1">
      <alignment vertical="top" wrapText="1"/>
    </xf>
    <xf numFmtId="1" fontId="45" fillId="6" borderId="6" xfId="0" applyNumberFormat="1" applyFont="1" applyFill="1" applyBorder="1" applyAlignment="1" applyProtection="1">
      <alignment horizontal="right"/>
      <protection locked="0"/>
    </xf>
    <xf numFmtId="1" fontId="46" fillId="6" borderId="7" xfId="0" applyNumberFormat="1" applyFont="1" applyFill="1" applyBorder="1" applyAlignment="1">
      <alignment horizontal="right"/>
    </xf>
    <xf numFmtId="1" fontId="46" fillId="6" borderId="8" xfId="0" applyNumberFormat="1" applyFont="1" applyFill="1" applyBorder="1" applyAlignment="1">
      <alignment horizontal="right"/>
    </xf>
    <xf numFmtId="0" fontId="4" fillId="5" borderId="0" xfId="0" applyFont="1" applyFill="1" applyBorder="1" applyAlignment="1">
      <alignment horizontal="left" wrapText="1"/>
    </xf>
    <xf numFmtId="0" fontId="7" fillId="3" borderId="0" xfId="0" applyFont="1" applyFill="1" applyAlignment="1">
      <alignment horizontal="center" vertical="center" wrapText="1"/>
    </xf>
    <xf numFmtId="0" fontId="1" fillId="0" borderId="19" xfId="0" applyFont="1" applyBorder="1" applyAlignment="1">
      <alignment horizontal="center" wrapText="1"/>
    </xf>
    <xf numFmtId="0" fontId="1" fillId="0" borderId="20" xfId="0" applyFont="1" applyBorder="1" applyAlignment="1">
      <alignment horizontal="center" wrapText="1"/>
    </xf>
    <xf numFmtId="2" fontId="2" fillId="0" borderId="0" xfId="0" applyNumberFormat="1" applyFont="1" applyBorder="1" applyAlignment="1">
      <alignment horizontal="center" vertical="top" wrapText="1"/>
    </xf>
    <xf numFmtId="2" fontId="2" fillId="0" borderId="10" xfId="0" applyNumberFormat="1" applyFont="1" applyBorder="1" applyAlignment="1">
      <alignment horizontal="center" vertical="top" wrapText="1"/>
    </xf>
    <xf numFmtId="2" fontId="2" fillId="0" borderId="7" xfId="0" applyNumberFormat="1" applyFont="1" applyFill="1" applyBorder="1" applyAlignment="1">
      <alignment horizontal="center" vertical="top" wrapText="1"/>
    </xf>
    <xf numFmtId="2" fontId="2" fillId="0" borderId="8" xfId="0" applyNumberFormat="1" applyFont="1" applyFill="1" applyBorder="1" applyAlignment="1">
      <alignment horizontal="center" vertical="top" wrapText="1"/>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8" xfId="0" applyFont="1" applyFill="1" applyBorder="1" applyAlignment="1">
      <alignment horizontal="center"/>
    </xf>
    <xf numFmtId="0" fontId="1" fillId="0" borderId="0" xfId="0" applyFont="1" applyAlignment="1">
      <alignment horizontal="center"/>
    </xf>
    <xf numFmtId="0" fontId="0" fillId="0" borderId="13" xfId="0" applyBorder="1" applyAlignment="1">
      <alignment horizontal="center"/>
    </xf>
    <xf numFmtId="0" fontId="0" fillId="0" borderId="17" xfId="0" applyBorder="1" applyAlignment="1"/>
    <xf numFmtId="0" fontId="0" fillId="0" borderId="13" xfId="0" applyBorder="1" applyAlignment="1"/>
    <xf numFmtId="0" fontId="0" fillId="0" borderId="14" xfId="0" applyBorder="1" applyAlignment="1"/>
    <xf numFmtId="0" fontId="0" fillId="0" borderId="14" xfId="0" applyBorder="1" applyAlignment="1">
      <alignment horizontal="center"/>
    </xf>
  </cellXfs>
  <cellStyles count="2">
    <cellStyle name="Comma" xfId="1" builtinId="3"/>
    <cellStyle name="Normal" xfId="0" builtinId="0"/>
  </cellStyles>
  <dxfs count="6">
    <dxf>
      <font>
        <b val="0"/>
        <i val="0"/>
        <strike val="0"/>
        <condense val="0"/>
        <extend val="0"/>
        <outline val="0"/>
        <shadow val="0"/>
        <u val="none"/>
        <vertAlign val="baseline"/>
        <sz val="12"/>
        <color auto="1"/>
        <name val="Arial"/>
        <scheme val="none"/>
      </font>
      <numFmt numFmtId="2" formatCode="0.00"/>
    </dxf>
    <dxf>
      <fill>
        <patternFill patternType="none">
          <fgColor indexed="64"/>
          <bgColor indexed="65"/>
        </patternFill>
      </fill>
    </dxf>
    <dxf>
      <border outline="0">
        <left style="medium">
          <color indexed="64"/>
        </left>
        <right style="medium">
          <color indexed="64"/>
        </right>
        <bottom style="medium">
          <color indexed="64"/>
        </bottom>
      </border>
    </dxf>
    <dxf>
      <numFmt numFmtId="2" formatCode="0.00"/>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border outline="0">
        <left style="medium">
          <color indexed="64"/>
        </left>
        <right style="medium">
          <color indexed="64"/>
        </right>
        <top style="thin">
          <color indexed="64"/>
        </top>
        <bottom style="medium">
          <color indexed="64"/>
        </bottom>
      </border>
    </dxf>
  </dxfs>
  <tableStyles count="0" defaultTableStyle="TableStyleMedium2" defaultPivotStyle="PivotStyleLight16"/>
  <colors>
    <mruColors>
      <color rgb="FFD5FFD5"/>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8</xdr:col>
      <xdr:colOff>316037</xdr:colOff>
      <xdr:row>38</xdr:row>
      <xdr:rowOff>38100</xdr:rowOff>
    </xdr:from>
    <xdr:to>
      <xdr:col>14</xdr:col>
      <xdr:colOff>171451</xdr:colOff>
      <xdr:row>60</xdr:row>
      <xdr:rowOff>118265</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8069387" y="10096500"/>
          <a:ext cx="4351214" cy="4328315"/>
        </a:xfrm>
        <a:prstGeom prst="rect">
          <a:avLst/>
        </a:prstGeom>
      </xdr:spPr>
    </xdr:pic>
    <xdr:clientData/>
  </xdr:twoCellAnchor>
  <xdr:twoCellAnchor>
    <xdr:from>
      <xdr:col>4</xdr:col>
      <xdr:colOff>923925</xdr:colOff>
      <xdr:row>111</xdr:row>
      <xdr:rowOff>190500</xdr:rowOff>
    </xdr:from>
    <xdr:to>
      <xdr:col>6</xdr:col>
      <xdr:colOff>781050</xdr:colOff>
      <xdr:row>111</xdr:row>
      <xdr:rowOff>190500</xdr:rowOff>
    </xdr:to>
    <xdr:sp macro="" textlink="">
      <xdr:nvSpPr>
        <xdr:cNvPr id="8" name="Line 3">
          <a:extLst>
            <a:ext uri="{FF2B5EF4-FFF2-40B4-BE49-F238E27FC236}">
              <a16:creationId xmlns:a16="http://schemas.microsoft.com/office/drawing/2014/main" id="{00000000-0008-0000-0000-000008000000}"/>
            </a:ext>
          </a:extLst>
        </xdr:cNvPr>
        <xdr:cNvSpPr>
          <a:spLocks noChangeShapeType="1"/>
        </xdr:cNvSpPr>
      </xdr:nvSpPr>
      <xdr:spPr bwMode="auto">
        <a:xfrm>
          <a:off x="5495925" y="26822400"/>
          <a:ext cx="1419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695325</xdr:colOff>
      <xdr:row>100</xdr:row>
      <xdr:rowOff>190500</xdr:rowOff>
    </xdr:from>
    <xdr:to>
      <xdr:col>6</xdr:col>
      <xdr:colOff>704850</xdr:colOff>
      <xdr:row>100</xdr:row>
      <xdr:rowOff>190500</xdr:rowOff>
    </xdr:to>
    <xdr:sp macro="" textlink="">
      <xdr:nvSpPr>
        <xdr:cNvPr id="14" name="Line 8">
          <a:extLst>
            <a:ext uri="{FF2B5EF4-FFF2-40B4-BE49-F238E27FC236}">
              <a16:creationId xmlns:a16="http://schemas.microsoft.com/office/drawing/2014/main" id="{00000000-0008-0000-0000-00000E000000}"/>
            </a:ext>
          </a:extLst>
        </xdr:cNvPr>
        <xdr:cNvSpPr>
          <a:spLocks noChangeShapeType="1"/>
        </xdr:cNvSpPr>
      </xdr:nvSpPr>
      <xdr:spPr bwMode="auto">
        <a:xfrm flipV="1">
          <a:off x="5267325" y="242887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400050</xdr:colOff>
      <xdr:row>73</xdr:row>
      <xdr:rowOff>190500</xdr:rowOff>
    </xdr:from>
    <xdr:to>
      <xdr:col>10</xdr:col>
      <xdr:colOff>647700</xdr:colOff>
      <xdr:row>73</xdr:row>
      <xdr:rowOff>190500</xdr:rowOff>
    </xdr:to>
    <xdr:sp macro="" textlink="">
      <xdr:nvSpPr>
        <xdr:cNvPr id="16" name="Line 14">
          <a:extLst>
            <a:ext uri="{FF2B5EF4-FFF2-40B4-BE49-F238E27FC236}">
              <a16:creationId xmlns:a16="http://schemas.microsoft.com/office/drawing/2014/main" id="{00000000-0008-0000-0000-000010000000}"/>
            </a:ext>
          </a:extLst>
        </xdr:cNvPr>
        <xdr:cNvSpPr>
          <a:spLocks noChangeShapeType="1"/>
        </xdr:cNvSpPr>
      </xdr:nvSpPr>
      <xdr:spPr bwMode="auto">
        <a:xfrm flipV="1">
          <a:off x="6534150" y="17907000"/>
          <a:ext cx="3181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428625</xdr:colOff>
      <xdr:row>71</xdr:row>
      <xdr:rowOff>200025</xdr:rowOff>
    </xdr:from>
    <xdr:to>
      <xdr:col>10</xdr:col>
      <xdr:colOff>695325</xdr:colOff>
      <xdr:row>71</xdr:row>
      <xdr:rowOff>200025</xdr:rowOff>
    </xdr:to>
    <xdr:sp macro="" textlink="">
      <xdr:nvSpPr>
        <xdr:cNvPr id="18" name="Line 19">
          <a:extLst>
            <a:ext uri="{FF2B5EF4-FFF2-40B4-BE49-F238E27FC236}">
              <a16:creationId xmlns:a16="http://schemas.microsoft.com/office/drawing/2014/main" id="{00000000-0008-0000-0000-000012000000}"/>
            </a:ext>
          </a:extLst>
        </xdr:cNvPr>
        <xdr:cNvSpPr>
          <a:spLocks noChangeShapeType="1"/>
        </xdr:cNvSpPr>
      </xdr:nvSpPr>
      <xdr:spPr bwMode="auto">
        <a:xfrm flipV="1">
          <a:off x="6562725" y="17287875"/>
          <a:ext cx="3200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104775</xdr:colOff>
      <xdr:row>98</xdr:row>
      <xdr:rowOff>180975</xdr:rowOff>
    </xdr:from>
    <xdr:to>
      <xdr:col>6</xdr:col>
      <xdr:colOff>762000</xdr:colOff>
      <xdr:row>98</xdr:row>
      <xdr:rowOff>180975</xdr:rowOff>
    </xdr:to>
    <xdr:sp macro="" textlink="">
      <xdr:nvSpPr>
        <xdr:cNvPr id="22" name="Line 24">
          <a:extLst>
            <a:ext uri="{FF2B5EF4-FFF2-40B4-BE49-F238E27FC236}">
              <a16:creationId xmlns:a16="http://schemas.microsoft.com/office/drawing/2014/main" id="{00000000-0008-0000-0000-000016000000}"/>
            </a:ext>
          </a:extLst>
        </xdr:cNvPr>
        <xdr:cNvSpPr>
          <a:spLocks noChangeShapeType="1"/>
        </xdr:cNvSpPr>
      </xdr:nvSpPr>
      <xdr:spPr bwMode="auto">
        <a:xfrm flipV="1">
          <a:off x="5648325" y="23745825"/>
          <a:ext cx="1247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400050</xdr:colOff>
      <xdr:row>75</xdr:row>
      <xdr:rowOff>190500</xdr:rowOff>
    </xdr:from>
    <xdr:to>
      <xdr:col>10</xdr:col>
      <xdr:colOff>647700</xdr:colOff>
      <xdr:row>75</xdr:row>
      <xdr:rowOff>190500</xdr:rowOff>
    </xdr:to>
    <xdr:sp macro="" textlink="">
      <xdr:nvSpPr>
        <xdr:cNvPr id="23" name="Line 25">
          <a:extLst>
            <a:ext uri="{FF2B5EF4-FFF2-40B4-BE49-F238E27FC236}">
              <a16:creationId xmlns:a16="http://schemas.microsoft.com/office/drawing/2014/main" id="{00000000-0008-0000-0000-000017000000}"/>
            </a:ext>
          </a:extLst>
        </xdr:cNvPr>
        <xdr:cNvSpPr>
          <a:spLocks noChangeShapeType="1"/>
        </xdr:cNvSpPr>
      </xdr:nvSpPr>
      <xdr:spPr bwMode="auto">
        <a:xfrm>
          <a:off x="6534150" y="18516600"/>
          <a:ext cx="3181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447675</xdr:colOff>
      <xdr:row>69</xdr:row>
      <xdr:rowOff>209550</xdr:rowOff>
    </xdr:from>
    <xdr:to>
      <xdr:col>10</xdr:col>
      <xdr:colOff>733425</xdr:colOff>
      <xdr:row>69</xdr:row>
      <xdr:rowOff>209550</xdr:rowOff>
    </xdr:to>
    <xdr:sp macro="" textlink="">
      <xdr:nvSpPr>
        <xdr:cNvPr id="24" name="Line 26">
          <a:extLst>
            <a:ext uri="{FF2B5EF4-FFF2-40B4-BE49-F238E27FC236}">
              <a16:creationId xmlns:a16="http://schemas.microsoft.com/office/drawing/2014/main" id="{00000000-0008-0000-0000-000018000000}"/>
            </a:ext>
          </a:extLst>
        </xdr:cNvPr>
        <xdr:cNvSpPr>
          <a:spLocks noChangeShapeType="1"/>
        </xdr:cNvSpPr>
      </xdr:nvSpPr>
      <xdr:spPr bwMode="auto">
        <a:xfrm flipV="1">
          <a:off x="6581775" y="16668750"/>
          <a:ext cx="3219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356659</xdr:colOff>
      <xdr:row>41</xdr:row>
      <xdr:rowOff>176742</xdr:rowOff>
    </xdr:from>
    <xdr:to>
      <xdr:col>8</xdr:col>
      <xdr:colOff>143934</xdr:colOff>
      <xdr:row>59</xdr:row>
      <xdr:rowOff>29633</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970492" y="10601325"/>
          <a:ext cx="6920442" cy="3292475"/>
          <a:chOff x="4589992" y="9863666"/>
          <a:chExt cx="8705850" cy="3717925"/>
        </a:xfrm>
      </xdr:grpSpPr>
      <xdr:pic>
        <xdr:nvPicPr>
          <xdr:cNvPr id="25" name="Picture 48" descr="residential_8">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9992" y="9863666"/>
            <a:ext cx="8705850" cy="371792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Picture 26">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64666" y="12530667"/>
            <a:ext cx="409575" cy="238125"/>
          </a:xfrm>
          <a:prstGeom prst="rect">
            <a:avLst/>
          </a:prstGeom>
          <a:solidFill>
            <a:schemeClr val="bg1"/>
          </a:solidFill>
          <a:extLst/>
        </xdr:spPr>
      </xdr:pic>
    </xdr:grpSp>
    <xdr:clientData/>
  </xdr:twoCellAnchor>
  <xdr:twoCellAnchor editAs="oneCell">
    <xdr:from>
      <xdr:col>1</xdr:col>
      <xdr:colOff>114300</xdr:colOff>
      <xdr:row>38</xdr:row>
      <xdr:rowOff>95250</xdr:rowOff>
    </xdr:from>
    <xdr:to>
      <xdr:col>3</xdr:col>
      <xdr:colOff>114300</xdr:colOff>
      <xdr:row>49</xdr:row>
      <xdr:rowOff>38100</xdr:rowOff>
    </xdr:to>
    <xdr:pic>
      <xdr:nvPicPr>
        <xdr:cNvPr id="29" name="Picture 28">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3900" y="10153650"/>
          <a:ext cx="3524250" cy="209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148166</xdr:colOff>
      <xdr:row>47</xdr:row>
      <xdr:rowOff>114895</xdr:rowOff>
    </xdr:from>
    <xdr:to>
      <xdr:col>14</xdr:col>
      <xdr:colOff>21166</xdr:colOff>
      <xdr:row>51</xdr:row>
      <xdr:rowOff>168107</xdr:rowOff>
    </xdr:to>
    <xdr:pic>
      <xdr:nvPicPr>
        <xdr:cNvPr id="33" name="Picture 32">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186583" y="11830645"/>
          <a:ext cx="1068916" cy="8152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105833</xdr:colOff>
      <xdr:row>45</xdr:row>
      <xdr:rowOff>127001</xdr:rowOff>
    </xdr:from>
    <xdr:to>
      <xdr:col>13</xdr:col>
      <xdr:colOff>275165</xdr:colOff>
      <xdr:row>47</xdr:row>
      <xdr:rowOff>169334</xdr:rowOff>
    </xdr:to>
    <xdr:sp macro="" textlink="">
      <xdr:nvSpPr>
        <xdr:cNvPr id="7" name="Down Arrow 6">
          <a:extLst>
            <a:ext uri="{FF2B5EF4-FFF2-40B4-BE49-F238E27FC236}">
              <a16:creationId xmlns:a16="http://schemas.microsoft.com/office/drawing/2014/main" id="{00000000-0008-0000-0000-000007000000}"/>
            </a:ext>
          </a:extLst>
        </xdr:cNvPr>
        <xdr:cNvSpPr/>
      </xdr:nvSpPr>
      <xdr:spPr>
        <a:xfrm flipH="1">
          <a:off x="11641666" y="11461751"/>
          <a:ext cx="169332" cy="42333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42</xdr:row>
      <xdr:rowOff>152400</xdr:rowOff>
    </xdr:from>
    <xdr:to>
      <xdr:col>8</xdr:col>
      <xdr:colOff>1219200</xdr:colOff>
      <xdr:row>49</xdr:row>
      <xdr:rowOff>171450</xdr:rowOff>
    </xdr:to>
    <xdr:sp macro="" textlink="">
      <xdr:nvSpPr>
        <xdr:cNvPr id="2" name="TextBox 1"/>
        <xdr:cNvSpPr txBox="1"/>
      </xdr:nvSpPr>
      <xdr:spPr>
        <a:xfrm>
          <a:off x="3009900" y="10077450"/>
          <a:ext cx="6076950"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For July 2018 Manual </a:t>
          </a:r>
        </a:p>
        <a:p>
          <a:pPr algn="ctr"/>
          <a:r>
            <a:rPr lang="en-US" sz="2400"/>
            <a:t>(Rev 8/2/18)</a:t>
          </a:r>
        </a:p>
      </xdr:txBody>
    </xdr:sp>
    <xdr:clientData/>
  </xdr:twoCellAnchor>
</xdr:wsDr>
</file>

<file path=xl/tables/table1.xml><?xml version="1.0" encoding="utf-8"?>
<table xmlns="http://schemas.openxmlformats.org/spreadsheetml/2006/main" id="3" name="Table61a" displayName="Table61a" ref="B4:C24" totalsRowShown="0" tableBorderDxfId="5">
  <autoFilter ref="B4:C24"/>
  <tableColumns count="2">
    <tableColumn id="1" name="Dwelling units per acre" dataDxfId="4"/>
    <tableColumn id="2" name="imperviousness" dataDxfId="3"/>
  </tableColumns>
  <tableStyleInfo name="TableStyleMedium2" showFirstColumn="0" showLastColumn="0" showRowStripes="1" showColumnStripes="0"/>
</table>
</file>

<file path=xl/tables/table2.xml><?xml version="1.0" encoding="utf-8"?>
<table xmlns="http://schemas.openxmlformats.org/spreadsheetml/2006/main" id="4" name="RooftopTable" displayName="RooftopTable" ref="E3:F11" totalsRowShown="0" tableBorderDxfId="2">
  <autoFilter ref="E3:F11"/>
  <tableColumns count="2">
    <tableColumn id="1" name="DU/A" dataDxfId="1"/>
    <tableColumn id="2" name="reduction factor"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1"/>
  <sheetViews>
    <sheetView tabSelected="1" view="pageBreakPreview" zoomScale="90" zoomScaleNormal="60" zoomScaleSheetLayoutView="90" workbookViewId="0">
      <selection activeCell="C3" sqref="C3:G3"/>
    </sheetView>
  </sheetViews>
  <sheetFormatPr defaultRowHeight="15" x14ac:dyDescent="0.25"/>
  <cols>
    <col min="2" max="2" width="36.140625" customWidth="1"/>
    <col min="3" max="3" width="16.5703125" customWidth="1"/>
    <col min="4" max="4" width="6.42578125" customWidth="1"/>
    <col min="5" max="5" width="14.5703125" customWidth="1"/>
    <col min="6" max="6" width="8.85546875" customWidth="1"/>
    <col min="7" max="7" width="12.85546875" bestFit="1" customWidth="1"/>
    <col min="8" max="8" width="11.42578125" bestFit="1" customWidth="1"/>
    <col min="9" max="9" width="10.42578125" customWidth="1"/>
    <col min="11" max="11" width="17.42578125" customWidth="1"/>
    <col min="12" max="12" width="12.140625" customWidth="1"/>
    <col min="13" max="13" width="7.42578125" customWidth="1"/>
    <col min="14" max="14" width="10.42578125" customWidth="1"/>
    <col min="15" max="15" width="6.7109375" customWidth="1"/>
    <col min="16" max="16" width="13.42578125" customWidth="1"/>
  </cols>
  <sheetData>
    <row r="1" spans="1:17" ht="34.5" customHeight="1" x14ac:dyDescent="0.25">
      <c r="A1" s="1"/>
      <c r="B1" s="392" t="s">
        <v>271</v>
      </c>
      <c r="C1" s="393"/>
      <c r="D1" s="393"/>
      <c r="E1" s="393"/>
      <c r="F1" s="393"/>
      <c r="G1" s="393"/>
      <c r="H1" s="393"/>
      <c r="I1" s="393"/>
      <c r="J1" s="393"/>
      <c r="K1" s="393"/>
      <c r="L1" s="393"/>
      <c r="M1" s="393"/>
      <c r="N1" s="393"/>
      <c r="O1" s="394"/>
      <c r="P1" s="394"/>
    </row>
    <row r="2" spans="1:17" ht="7.5" customHeight="1" x14ac:dyDescent="0.25">
      <c r="A2" s="2"/>
      <c r="B2" s="3"/>
      <c r="C2" s="3"/>
      <c r="D2" s="3"/>
      <c r="E2" s="3"/>
      <c r="F2" s="3"/>
      <c r="G2" s="3"/>
      <c r="H2" s="3"/>
      <c r="I2" s="3"/>
      <c r="J2" s="3"/>
      <c r="K2" s="4"/>
      <c r="L2" s="4"/>
      <c r="M2" s="5"/>
      <c r="N2" s="5"/>
      <c r="O2" s="5"/>
      <c r="P2" s="5"/>
    </row>
    <row r="3" spans="1:17" ht="18" x14ac:dyDescent="0.25">
      <c r="A3" s="2"/>
      <c r="B3" s="6" t="s">
        <v>0</v>
      </c>
      <c r="C3" s="395"/>
      <c r="D3" s="396"/>
      <c r="E3" s="396"/>
      <c r="F3" s="396"/>
      <c r="G3" s="397"/>
      <c r="H3" s="7"/>
      <c r="I3" s="7"/>
      <c r="J3" s="8" t="s">
        <v>248</v>
      </c>
      <c r="K3" s="9"/>
      <c r="L3" s="10"/>
      <c r="M3" s="5"/>
      <c r="N3" s="5"/>
      <c r="O3" s="5"/>
      <c r="P3" s="5"/>
    </row>
    <row r="4" spans="1:17" ht="18" x14ac:dyDescent="0.25">
      <c r="A4" s="2"/>
      <c r="B4" s="6" t="s">
        <v>1</v>
      </c>
      <c r="C4" s="398" t="s">
        <v>2</v>
      </c>
      <c r="D4" s="399"/>
      <c r="E4" s="3"/>
      <c r="F4" s="3"/>
      <c r="G4" s="11"/>
      <c r="H4" s="3"/>
      <c r="I4" s="3"/>
      <c r="J4" s="3"/>
      <c r="K4" s="4"/>
      <c r="L4" s="4"/>
      <c r="M4" s="5"/>
      <c r="N4" s="5"/>
      <c r="O4" s="12"/>
      <c r="P4" s="12"/>
    </row>
    <row r="5" spans="1:17" ht="18" x14ac:dyDescent="0.25">
      <c r="A5" s="2"/>
      <c r="B5" s="194" t="s">
        <v>124</v>
      </c>
      <c r="C5" s="13"/>
      <c r="D5" s="13"/>
      <c r="E5" s="13"/>
      <c r="F5" s="13"/>
      <c r="G5" s="13"/>
      <c r="H5" s="13"/>
      <c r="I5" s="13"/>
      <c r="J5" s="13"/>
      <c r="K5" s="14"/>
      <c r="L5" s="14"/>
      <c r="M5" s="15"/>
      <c r="N5" s="15"/>
      <c r="O5" s="5"/>
      <c r="P5" s="5"/>
    </row>
    <row r="6" spans="1:17" ht="8.25" customHeight="1" x14ac:dyDescent="0.25">
      <c r="A6" s="2"/>
      <c r="B6" s="169"/>
      <c r="C6" s="3"/>
      <c r="D6" s="3"/>
      <c r="E6" s="3"/>
      <c r="F6" s="3"/>
      <c r="G6" s="3"/>
      <c r="H6" s="3"/>
      <c r="I6" s="3"/>
      <c r="J6" s="3"/>
      <c r="K6" s="37"/>
      <c r="L6" s="37"/>
      <c r="M6" s="18"/>
      <c r="N6" s="18"/>
      <c r="O6" s="5"/>
      <c r="P6" s="5"/>
    </row>
    <row r="7" spans="1:17" ht="20.25" customHeight="1" thickBot="1" x14ac:dyDescent="0.3">
      <c r="A7" s="2"/>
      <c r="B7" s="173" t="s">
        <v>89</v>
      </c>
      <c r="C7" s="3"/>
      <c r="D7" s="3"/>
      <c r="E7" s="3"/>
      <c r="F7" s="3"/>
      <c r="G7" s="3"/>
      <c r="H7" s="3"/>
      <c r="I7" s="3"/>
      <c r="J7" s="3"/>
      <c r="K7" s="4"/>
      <c r="L7" s="4"/>
      <c r="M7" s="5"/>
      <c r="N7" s="5"/>
      <c r="O7" s="5"/>
      <c r="P7" s="5"/>
    </row>
    <row r="8" spans="1:17" ht="20.25" customHeight="1" thickBot="1" x14ac:dyDescent="0.4">
      <c r="A8" s="2"/>
      <c r="B8" s="16" t="s">
        <v>88</v>
      </c>
      <c r="C8" s="17"/>
      <c r="D8" s="5"/>
      <c r="E8" s="18"/>
      <c r="F8" s="410"/>
      <c r="G8" s="411"/>
      <c r="H8" s="412"/>
      <c r="I8" s="17" t="s">
        <v>3</v>
      </c>
      <c r="J8" s="3"/>
      <c r="K8" s="19" t="s">
        <v>123</v>
      </c>
      <c r="L8" s="459" t="s">
        <v>116</v>
      </c>
      <c r="M8" s="459"/>
      <c r="N8" s="459"/>
      <c r="O8" s="168"/>
      <c r="P8" s="5"/>
    </row>
    <row r="9" spans="1:17" ht="21" customHeight="1" thickBot="1" x14ac:dyDescent="0.3">
      <c r="A9" s="2"/>
      <c r="B9" s="16"/>
      <c r="C9" s="17"/>
      <c r="D9" s="5"/>
      <c r="E9" s="11"/>
      <c r="F9" s="327"/>
      <c r="G9" s="328"/>
      <c r="H9" s="329"/>
      <c r="I9" s="17"/>
      <c r="J9" s="3"/>
      <c r="K9" s="19"/>
      <c r="L9" s="459"/>
      <c r="M9" s="459"/>
      <c r="N9" s="459"/>
      <c r="O9" s="168"/>
      <c r="P9" s="5"/>
    </row>
    <row r="10" spans="1:17" ht="21" thickBot="1" x14ac:dyDescent="0.4">
      <c r="A10" s="2"/>
      <c r="B10" s="192" t="s">
        <v>117</v>
      </c>
      <c r="C10" s="17"/>
      <c r="D10" s="5"/>
      <c r="E10" s="11"/>
      <c r="F10" s="455">
        <f>SUM(F11:H15)</f>
        <v>0</v>
      </c>
      <c r="G10" s="456"/>
      <c r="H10" s="457"/>
      <c r="I10" s="17" t="s">
        <v>3</v>
      </c>
      <c r="J10" s="3"/>
      <c r="K10" s="19" t="s">
        <v>5</v>
      </c>
      <c r="L10" s="459"/>
      <c r="M10" s="459"/>
      <c r="N10" s="459"/>
      <c r="O10" s="168"/>
      <c r="P10" s="5"/>
      <c r="Q10" s="167"/>
    </row>
    <row r="11" spans="1:17" ht="18" customHeight="1" x14ac:dyDescent="0.25">
      <c r="A11" s="2"/>
      <c r="B11" s="193" t="s">
        <v>82</v>
      </c>
      <c r="C11" s="151"/>
      <c r="D11" s="151"/>
      <c r="E11" s="152"/>
      <c r="F11" s="404">
        <v>0</v>
      </c>
      <c r="G11" s="405"/>
      <c r="H11" s="406"/>
      <c r="I11" s="17" t="s">
        <v>3</v>
      </c>
      <c r="J11" s="3"/>
      <c r="K11" s="19"/>
      <c r="L11" s="459"/>
      <c r="M11" s="459"/>
      <c r="N11" s="459"/>
      <c r="O11" s="168"/>
      <c r="P11" s="5"/>
    </row>
    <row r="12" spans="1:17" ht="18" customHeight="1" x14ac:dyDescent="0.25">
      <c r="A12" s="2"/>
      <c r="B12" s="193" t="s">
        <v>83</v>
      </c>
      <c r="C12" s="151"/>
      <c r="D12" s="151"/>
      <c r="E12" s="152"/>
      <c r="F12" s="407">
        <v>0</v>
      </c>
      <c r="G12" s="408"/>
      <c r="H12" s="409"/>
      <c r="I12" s="17" t="s">
        <v>3</v>
      </c>
      <c r="J12" s="3"/>
      <c r="K12" s="19"/>
      <c r="L12" s="459"/>
      <c r="M12" s="459"/>
      <c r="N12" s="459"/>
      <c r="O12" s="168"/>
      <c r="P12" s="5"/>
    </row>
    <row r="13" spans="1:17" ht="18" customHeight="1" x14ac:dyDescent="0.25">
      <c r="A13" s="2"/>
      <c r="B13" s="193" t="s">
        <v>94</v>
      </c>
      <c r="C13" s="151"/>
      <c r="D13" s="151"/>
      <c r="E13" s="152"/>
      <c r="F13" s="407">
        <v>0</v>
      </c>
      <c r="G13" s="408"/>
      <c r="H13" s="409"/>
      <c r="I13" s="17" t="s">
        <v>3</v>
      </c>
      <c r="J13" s="3"/>
      <c r="K13" s="19"/>
      <c r="L13" s="459"/>
      <c r="M13" s="459"/>
      <c r="N13" s="459"/>
      <c r="O13" s="168"/>
      <c r="P13" s="5"/>
    </row>
    <row r="14" spans="1:17" ht="18" customHeight="1" x14ac:dyDescent="0.25">
      <c r="A14" s="2"/>
      <c r="B14" s="193" t="s">
        <v>118</v>
      </c>
      <c r="C14" s="151"/>
      <c r="D14" s="151"/>
      <c r="E14" s="152"/>
      <c r="F14" s="407">
        <v>0</v>
      </c>
      <c r="G14" s="408"/>
      <c r="H14" s="409"/>
      <c r="I14" s="17" t="s">
        <v>3</v>
      </c>
      <c r="J14" s="3"/>
      <c r="K14" s="19"/>
      <c r="L14" s="459"/>
      <c r="M14" s="459"/>
      <c r="N14" s="459"/>
      <c r="O14" s="168"/>
      <c r="P14" s="5"/>
    </row>
    <row r="15" spans="1:17" ht="21" thickBot="1" x14ac:dyDescent="0.3">
      <c r="A15" s="2"/>
      <c r="B15" s="193" t="s">
        <v>119</v>
      </c>
      <c r="C15" s="151"/>
      <c r="D15" s="151"/>
      <c r="E15" s="152"/>
      <c r="F15" s="422">
        <v>0</v>
      </c>
      <c r="G15" s="423"/>
      <c r="H15" s="424"/>
      <c r="I15" s="17" t="s">
        <v>3</v>
      </c>
      <c r="J15" s="3"/>
      <c r="K15" s="19"/>
      <c r="L15" s="149"/>
      <c r="M15" s="5"/>
      <c r="N15" s="5"/>
      <c r="O15" s="5"/>
      <c r="P15" s="5"/>
      <c r="Q15" s="190"/>
    </row>
    <row r="16" spans="1:17" ht="36" customHeight="1" thickBot="1" x14ac:dyDescent="0.3">
      <c r="A16" s="2"/>
      <c r="B16" s="212"/>
      <c r="C16" s="17"/>
      <c r="D16" s="5"/>
      <c r="E16" s="11"/>
      <c r="F16" s="325"/>
      <c r="G16" s="326"/>
      <c r="H16" s="164"/>
      <c r="I16" s="17"/>
      <c r="J16" s="3"/>
      <c r="K16" s="19"/>
      <c r="L16" s="149"/>
      <c r="M16" s="5"/>
      <c r="N16" s="5"/>
      <c r="O16" s="5"/>
      <c r="P16" s="5"/>
      <c r="Q16" s="191"/>
    </row>
    <row r="17" spans="1:20" ht="18.75" customHeight="1" thickBot="1" x14ac:dyDescent="0.3">
      <c r="A17" s="2"/>
      <c r="B17" s="16" t="s">
        <v>122</v>
      </c>
      <c r="C17" s="17"/>
      <c r="D17" s="5"/>
      <c r="E17" s="18"/>
      <c r="F17" s="426">
        <v>0</v>
      </c>
      <c r="G17" s="427"/>
      <c r="H17" s="428"/>
      <c r="I17" s="17" t="s">
        <v>3</v>
      </c>
      <c r="J17" s="3"/>
      <c r="K17" s="19" t="s">
        <v>4</v>
      </c>
      <c r="L17" s="459" t="s">
        <v>116</v>
      </c>
      <c r="M17" s="459"/>
      <c r="N17" s="459"/>
      <c r="O17" s="5"/>
      <c r="P17" s="5"/>
      <c r="Q17" s="191"/>
    </row>
    <row r="18" spans="1:20" ht="21" customHeight="1" thickBot="1" x14ac:dyDescent="0.3">
      <c r="A18" s="2"/>
      <c r="B18" s="16"/>
      <c r="C18" s="17"/>
      <c r="D18" s="5"/>
      <c r="E18" s="11"/>
      <c r="F18" s="325"/>
      <c r="G18" s="326"/>
      <c r="H18" s="164"/>
      <c r="I18" s="17"/>
      <c r="J18" s="3"/>
      <c r="K18" s="19"/>
      <c r="L18" s="459"/>
      <c r="M18" s="459"/>
      <c r="N18" s="459"/>
      <c r="O18" s="5"/>
      <c r="P18" s="5"/>
      <c r="Q18" s="191"/>
    </row>
    <row r="19" spans="1:20" ht="21" customHeight="1" thickBot="1" x14ac:dyDescent="0.4">
      <c r="A19" s="2"/>
      <c r="B19" s="190" t="s">
        <v>241</v>
      </c>
      <c r="C19" s="17"/>
      <c r="D19" s="5"/>
      <c r="E19" s="18"/>
      <c r="F19" s="400">
        <f>SUM(F20:H24)</f>
        <v>0</v>
      </c>
      <c r="G19" s="401"/>
      <c r="H19" s="402"/>
      <c r="I19" s="17" t="s">
        <v>3</v>
      </c>
      <c r="J19" s="3"/>
      <c r="K19" s="19" t="s">
        <v>130</v>
      </c>
      <c r="L19" s="459"/>
      <c r="M19" s="459"/>
      <c r="N19" s="459"/>
      <c r="O19" s="168"/>
      <c r="P19" s="5"/>
      <c r="Q19" s="190"/>
    </row>
    <row r="20" spans="1:20" ht="20.25" x14ac:dyDescent="0.25">
      <c r="A20" s="2"/>
      <c r="B20" s="191" t="s">
        <v>82</v>
      </c>
      <c r="C20" s="191"/>
      <c r="D20" s="191"/>
      <c r="E20" s="191"/>
      <c r="F20" s="413">
        <v>0</v>
      </c>
      <c r="G20" s="414"/>
      <c r="H20" s="415"/>
      <c r="I20" s="17" t="s">
        <v>3</v>
      </c>
      <c r="J20" s="3"/>
      <c r="K20" s="19"/>
      <c r="L20" s="459"/>
      <c r="M20" s="459"/>
      <c r="N20" s="459"/>
      <c r="O20" s="168"/>
      <c r="P20" s="5"/>
      <c r="Q20" s="190"/>
    </row>
    <row r="21" spans="1:20" ht="20.25" x14ac:dyDescent="0.25">
      <c r="A21" s="2"/>
      <c r="B21" s="191" t="s">
        <v>83</v>
      </c>
      <c r="C21" s="333"/>
      <c r="D21" s="151"/>
      <c r="E21" s="152"/>
      <c r="F21" s="416">
        <v>0</v>
      </c>
      <c r="G21" s="417"/>
      <c r="H21" s="418"/>
      <c r="I21" s="17" t="s">
        <v>3</v>
      </c>
      <c r="J21" s="3"/>
      <c r="K21" s="19"/>
      <c r="L21" s="459"/>
      <c r="M21" s="459"/>
      <c r="N21" s="459"/>
      <c r="O21" s="168"/>
      <c r="P21" s="5"/>
      <c r="Q21" s="190"/>
    </row>
    <row r="22" spans="1:20" ht="20.25" x14ac:dyDescent="0.25">
      <c r="A22" s="2"/>
      <c r="B22" s="191" t="s">
        <v>94</v>
      </c>
      <c r="C22" s="333"/>
      <c r="D22" s="151"/>
      <c r="E22" s="152"/>
      <c r="F22" s="416">
        <v>0</v>
      </c>
      <c r="G22" s="417"/>
      <c r="H22" s="418"/>
      <c r="I22" s="17" t="s">
        <v>3</v>
      </c>
      <c r="J22" s="3"/>
      <c r="K22" s="19"/>
      <c r="L22" s="459"/>
      <c r="M22" s="459"/>
      <c r="N22" s="459"/>
      <c r="O22" s="168"/>
      <c r="P22" s="5"/>
      <c r="Q22" s="190"/>
    </row>
    <row r="23" spans="1:20" ht="20.25" x14ac:dyDescent="0.25">
      <c r="A23" s="2"/>
      <c r="B23" s="191" t="s">
        <v>120</v>
      </c>
      <c r="C23" s="333"/>
      <c r="D23" s="151"/>
      <c r="E23" s="152"/>
      <c r="F23" s="416">
        <v>0</v>
      </c>
      <c r="G23" s="417"/>
      <c r="H23" s="418"/>
      <c r="I23" s="17" t="s">
        <v>3</v>
      </c>
      <c r="J23" s="3"/>
      <c r="K23" s="19"/>
      <c r="L23" s="459"/>
      <c r="M23" s="459"/>
      <c r="N23" s="459"/>
      <c r="O23" s="168"/>
      <c r="P23" s="5"/>
      <c r="Q23" s="190"/>
    </row>
    <row r="24" spans="1:20" ht="21" thickBot="1" x14ac:dyDescent="0.3">
      <c r="A24" s="2"/>
      <c r="B24" s="191" t="s">
        <v>121</v>
      </c>
      <c r="C24" s="333"/>
      <c r="D24" s="151"/>
      <c r="E24" s="152"/>
      <c r="F24" s="419">
        <v>0</v>
      </c>
      <c r="G24" s="420"/>
      <c r="H24" s="421"/>
      <c r="I24" s="17" t="s">
        <v>3</v>
      </c>
      <c r="J24" s="3"/>
      <c r="K24" s="19"/>
      <c r="L24" s="149"/>
      <c r="M24" s="168"/>
      <c r="N24" s="168"/>
      <c r="O24" s="168"/>
      <c r="P24" s="5"/>
      <c r="Q24" s="191"/>
    </row>
    <row r="25" spans="1:20" ht="35.25" customHeight="1" thickBot="1" x14ac:dyDescent="0.3">
      <c r="A25" s="2"/>
      <c r="B25" s="212" t="s">
        <v>267</v>
      </c>
      <c r="C25" s="17"/>
      <c r="D25" s="5"/>
      <c r="E25" s="11"/>
      <c r="F25" s="11"/>
      <c r="G25" s="18"/>
      <c r="H25" s="19"/>
      <c r="I25" s="17"/>
      <c r="J25" s="3"/>
      <c r="K25" s="19"/>
      <c r="L25" s="149"/>
      <c r="M25" s="168"/>
      <c r="N25" s="168"/>
      <c r="O25" s="168"/>
      <c r="P25" s="5"/>
      <c r="Q25" s="191"/>
    </row>
    <row r="26" spans="1:20" ht="21" thickBot="1" x14ac:dyDescent="0.4">
      <c r="A26" s="2"/>
      <c r="B26" s="16" t="s">
        <v>6</v>
      </c>
      <c r="C26" s="7"/>
      <c r="D26" s="5"/>
      <c r="E26" s="20" t="s">
        <v>132</v>
      </c>
      <c r="F26" s="383">
        <f>Box_A-Box_APSOS</f>
        <v>0</v>
      </c>
      <c r="G26" s="403"/>
      <c r="H26" s="368"/>
      <c r="I26" s="17" t="s">
        <v>3</v>
      </c>
      <c r="J26" s="3"/>
      <c r="K26" s="21" t="s">
        <v>7</v>
      </c>
      <c r="L26" s="149"/>
      <c r="M26" s="5"/>
      <c r="N26" s="5"/>
      <c r="O26" s="5"/>
      <c r="P26" s="5"/>
      <c r="Q26" s="191"/>
      <c r="S26" s="170"/>
      <c r="T26" s="34"/>
    </row>
    <row r="27" spans="1:20" ht="21" thickBot="1" x14ac:dyDescent="0.3">
      <c r="A27" s="2"/>
      <c r="B27" s="16"/>
      <c r="C27" s="7"/>
      <c r="D27" s="5"/>
      <c r="E27" s="20"/>
      <c r="F27" s="11"/>
      <c r="G27" s="18"/>
      <c r="H27" s="19"/>
      <c r="I27" s="17"/>
      <c r="J27" s="3"/>
      <c r="K27" s="21"/>
      <c r="L27" s="149"/>
      <c r="M27" s="5"/>
      <c r="N27" s="5"/>
      <c r="O27" s="5"/>
      <c r="P27" s="5"/>
    </row>
    <row r="28" spans="1:20" ht="29.25" customHeight="1" thickBot="1" x14ac:dyDescent="0.4">
      <c r="B28" s="16" t="s">
        <v>136</v>
      </c>
      <c r="C28" s="17"/>
      <c r="D28" s="5"/>
      <c r="E28" s="5"/>
      <c r="F28" s="425"/>
      <c r="G28" s="381"/>
      <c r="H28" s="5"/>
      <c r="I28" s="19"/>
      <c r="J28" s="54"/>
      <c r="K28" s="3"/>
      <c r="L28" s="211"/>
      <c r="M28" s="211"/>
      <c r="N28" s="211"/>
      <c r="O28" s="211"/>
      <c r="P28" s="5"/>
      <c r="Q28" s="5"/>
    </row>
    <row r="29" spans="1:20" ht="16.5" thickBot="1" x14ac:dyDescent="0.3">
      <c r="B29" s="5"/>
      <c r="C29" s="5"/>
      <c r="D29" s="5"/>
      <c r="E29" s="5"/>
      <c r="F29" s="5"/>
      <c r="G29" s="5"/>
      <c r="H29" s="5"/>
      <c r="I29" s="19"/>
      <c r="J29" s="19"/>
      <c r="K29" s="3"/>
      <c r="L29" s="4"/>
      <c r="M29" s="4"/>
      <c r="N29" s="5"/>
      <c r="O29" s="5"/>
      <c r="P29" s="5"/>
      <c r="Q29" s="5"/>
    </row>
    <row r="30" spans="1:20" ht="29.25" customHeight="1" thickBot="1" x14ac:dyDescent="0.4">
      <c r="B30" s="16" t="s">
        <v>137</v>
      </c>
      <c r="C30" s="22"/>
      <c r="D30" s="5"/>
      <c r="E30" s="164" t="s">
        <v>138</v>
      </c>
      <c r="F30" s="429">
        <f>IF(Box_A=0,0,ROUNDUP(DU/Box_AT,0))</f>
        <v>0</v>
      </c>
      <c r="G30" s="430"/>
      <c r="H30" s="4"/>
      <c r="I30" s="19"/>
      <c r="J30" s="21" t="s">
        <v>244</v>
      </c>
      <c r="K30" s="3"/>
      <c r="L30" s="4" t="s">
        <v>17</v>
      </c>
      <c r="M30" s="4"/>
      <c r="N30" s="5"/>
      <c r="O30" s="5"/>
      <c r="P30" s="5"/>
      <c r="Q30" s="5"/>
    </row>
    <row r="31" spans="1:20" ht="16.5" customHeight="1" thickBot="1" x14ac:dyDescent="0.3">
      <c r="B31" s="16"/>
      <c r="C31" s="22"/>
      <c r="D31" s="5"/>
      <c r="E31" s="5"/>
      <c r="F31" s="3"/>
      <c r="G31" s="33"/>
      <c r="H31" s="18"/>
      <c r="I31" s="19"/>
      <c r="J31" s="21"/>
      <c r="K31" s="3"/>
      <c r="L31" s="4"/>
      <c r="M31" s="4"/>
      <c r="N31" s="5"/>
      <c r="O31" s="5"/>
      <c r="P31" s="5"/>
      <c r="Q31" s="5"/>
    </row>
    <row r="32" spans="1:20" ht="29.25" customHeight="1" thickBot="1" x14ac:dyDescent="0.4">
      <c r="B32" s="16" t="s">
        <v>243</v>
      </c>
      <c r="C32" s="22"/>
      <c r="D32" s="5"/>
      <c r="E32" s="5"/>
      <c r="F32" s="431" t="e">
        <f>LOOKUP(ROUNDUP(DUA,0),Table61a[Dwelling units per acre],Table61a[imperviousness])</f>
        <v>#N/A</v>
      </c>
      <c r="G32" s="432"/>
      <c r="H32" s="18"/>
      <c r="I32" s="19"/>
      <c r="J32" s="24" t="s">
        <v>8</v>
      </c>
      <c r="K32" s="3"/>
      <c r="L32" s="4"/>
      <c r="M32" s="4"/>
      <c r="N32" s="5"/>
      <c r="O32" s="5"/>
      <c r="P32" s="5"/>
      <c r="Q32" s="5"/>
    </row>
    <row r="33" spans="1:20" ht="15.75" customHeight="1" x14ac:dyDescent="0.25">
      <c r="B33" s="212" t="s">
        <v>242</v>
      </c>
      <c r="C33" s="20"/>
      <c r="D33" s="5"/>
      <c r="E33" s="5"/>
      <c r="F33" s="3"/>
      <c r="G33" s="3"/>
      <c r="H33" s="5"/>
      <c r="I33" s="3"/>
      <c r="J33" s="213"/>
      <c r="K33" s="3"/>
      <c r="L33" s="4"/>
      <c r="M33" s="4"/>
      <c r="N33" s="5"/>
      <c r="O33" s="5"/>
      <c r="P33" s="5"/>
      <c r="Q33" s="5"/>
    </row>
    <row r="34" spans="1:20" ht="15.75" customHeight="1" x14ac:dyDescent="0.25">
      <c r="B34" s="212"/>
      <c r="C34" s="20"/>
      <c r="D34" s="5"/>
      <c r="E34" s="5"/>
      <c r="F34" s="3"/>
      <c r="G34" s="3"/>
      <c r="H34" s="5"/>
      <c r="I34" s="3"/>
      <c r="J34" s="213"/>
      <c r="K34" s="3"/>
      <c r="L34" s="4"/>
      <c r="M34" s="4"/>
      <c r="N34" s="5"/>
      <c r="O34" s="5"/>
      <c r="P34" s="5"/>
      <c r="Q34" s="5"/>
    </row>
    <row r="35" spans="1:20" ht="16.5" thickBot="1" x14ac:dyDescent="0.3">
      <c r="A35" s="2"/>
      <c r="B35" s="125" t="s">
        <v>126</v>
      </c>
      <c r="C35" s="124"/>
      <c r="D35" s="124"/>
      <c r="E35" s="124"/>
      <c r="F35" s="124"/>
      <c r="G35" s="124"/>
      <c r="H35" s="128"/>
      <c r="I35" s="128"/>
      <c r="J35" s="121"/>
      <c r="K35" s="123"/>
      <c r="L35" s="123"/>
      <c r="M35" s="124"/>
      <c r="N35" s="124"/>
      <c r="O35" s="124"/>
      <c r="P35" s="124"/>
    </row>
    <row r="36" spans="1:20" ht="19.5" x14ac:dyDescent="0.35">
      <c r="A36" s="2"/>
      <c r="B36" s="131" t="s">
        <v>17</v>
      </c>
      <c r="C36" s="132"/>
      <c r="D36" s="133"/>
      <c r="E36" s="133" t="s">
        <v>131</v>
      </c>
      <c r="F36" s="436" t="e">
        <f>(IF(OR(Box_AOS=0,Box_ACDP=0),0,(Box_AOS/Box_ACDP))+(Box_APSOS/Box_A))*100</f>
        <v>#DIV/0!</v>
      </c>
      <c r="G36" s="437"/>
      <c r="H36" s="438"/>
      <c r="I36" s="134" t="s">
        <v>79</v>
      </c>
      <c r="J36" s="135"/>
      <c r="K36" s="136"/>
      <c r="L36" s="137"/>
      <c r="M36" s="138"/>
      <c r="N36" s="138"/>
      <c r="O36" s="138"/>
      <c r="P36" s="138"/>
      <c r="S36" s="170"/>
      <c r="T36" s="171"/>
    </row>
    <row r="37" spans="1:20" ht="15.75" customHeight="1" x14ac:dyDescent="0.25">
      <c r="B37" s="212"/>
      <c r="C37" s="20"/>
      <c r="D37" s="5"/>
      <c r="E37" s="5"/>
      <c r="F37" s="3"/>
      <c r="G37" s="3"/>
      <c r="H37" s="5"/>
      <c r="I37" s="3"/>
      <c r="J37" s="213"/>
      <c r="K37" s="3"/>
      <c r="L37" s="4"/>
      <c r="M37" s="4"/>
      <c r="N37" s="5"/>
      <c r="O37" s="5"/>
      <c r="P37" s="5"/>
      <c r="Q37" s="5"/>
    </row>
    <row r="39" spans="1:20" ht="15.75" customHeight="1" x14ac:dyDescent="0.25">
      <c r="D39" s="214"/>
      <c r="E39" s="41"/>
      <c r="F39" s="2"/>
      <c r="G39" s="2"/>
      <c r="H39" s="41"/>
      <c r="I39" s="2"/>
      <c r="J39" s="215"/>
      <c r="K39" s="2"/>
      <c r="L39" s="40"/>
      <c r="M39" s="40"/>
      <c r="N39" s="41"/>
      <c r="O39" s="41"/>
      <c r="P39" s="41"/>
      <c r="Q39" s="41"/>
    </row>
    <row r="41" spans="1:20" ht="15.75" x14ac:dyDescent="0.25">
      <c r="E41" s="216"/>
      <c r="F41" s="216"/>
    </row>
    <row r="42" spans="1:20" ht="15.75" x14ac:dyDescent="0.25">
      <c r="E42" s="43"/>
      <c r="F42" s="84"/>
    </row>
    <row r="43" spans="1:20" x14ac:dyDescent="0.25">
      <c r="E43" s="43"/>
      <c r="F43" s="217"/>
    </row>
    <row r="44" spans="1:20" x14ac:dyDescent="0.25">
      <c r="E44" s="43"/>
      <c r="F44" s="217"/>
    </row>
    <row r="45" spans="1:20" x14ac:dyDescent="0.25">
      <c r="E45" s="43"/>
      <c r="F45" s="217"/>
    </row>
    <row r="46" spans="1:20" x14ac:dyDescent="0.25">
      <c r="E46" s="43"/>
      <c r="F46" s="217"/>
    </row>
    <row r="47" spans="1:20" x14ac:dyDescent="0.25">
      <c r="E47" s="43"/>
      <c r="F47" s="217"/>
    </row>
    <row r="48" spans="1:20" x14ac:dyDescent="0.25">
      <c r="E48" s="43"/>
      <c r="F48" s="217"/>
    </row>
    <row r="49" spans="2:17" x14ac:dyDescent="0.25">
      <c r="B49" s="299"/>
      <c r="C49" s="299"/>
      <c r="E49" s="43"/>
      <c r="F49" s="217"/>
    </row>
    <row r="50" spans="2:17" x14ac:dyDescent="0.25">
      <c r="E50" s="43"/>
      <c r="F50" s="217"/>
    </row>
    <row r="62" spans="2:17" x14ac:dyDescent="0.25">
      <c r="P62" s="175"/>
    </row>
    <row r="63" spans="2:17" ht="18" x14ac:dyDescent="0.25">
      <c r="B63" s="322" t="s">
        <v>249</v>
      </c>
      <c r="C63" s="218"/>
      <c r="D63" s="218"/>
      <c r="E63" s="218"/>
      <c r="F63" s="13"/>
      <c r="G63" s="13"/>
      <c r="H63" s="13"/>
      <c r="I63" s="13"/>
      <c r="J63" s="13"/>
      <c r="K63" s="13"/>
      <c r="L63" s="14"/>
      <c r="M63" s="14"/>
      <c r="N63" s="15"/>
      <c r="O63" s="15"/>
      <c r="P63" s="5"/>
      <c r="Q63" s="5"/>
    </row>
    <row r="64" spans="2:17" x14ac:dyDescent="0.25">
      <c r="B64" s="210"/>
      <c r="C64" s="5"/>
      <c r="D64" s="219"/>
      <c r="E64" s="5"/>
      <c r="F64" s="3"/>
      <c r="G64" s="3"/>
      <c r="H64" s="3"/>
      <c r="I64" s="3"/>
      <c r="J64" s="3"/>
      <c r="K64" s="3"/>
      <c r="L64" s="4"/>
      <c r="M64" s="4"/>
      <c r="N64" s="5"/>
      <c r="O64" s="5"/>
      <c r="P64" s="5"/>
      <c r="Q64" s="5"/>
    </row>
    <row r="65" spans="2:17" ht="15.75" x14ac:dyDescent="0.25">
      <c r="B65" s="433" t="s">
        <v>140</v>
      </c>
      <c r="C65" s="27"/>
      <c r="D65" s="27"/>
      <c r="E65" s="27"/>
      <c r="F65" s="433"/>
      <c r="G65" s="28"/>
      <c r="H65" s="27"/>
      <c r="I65" s="27"/>
      <c r="J65" s="433"/>
      <c r="K65" s="27"/>
      <c r="L65" s="385" t="s">
        <v>9</v>
      </c>
      <c r="M65" s="386"/>
      <c r="N65" s="62"/>
      <c r="O65" s="29"/>
      <c r="P65" s="29"/>
      <c r="Q65" s="29"/>
    </row>
    <row r="66" spans="2:17" ht="18.75" customHeight="1" x14ac:dyDescent="0.25">
      <c r="B66" s="434"/>
      <c r="C66" s="27"/>
      <c r="D66" s="27"/>
      <c r="E66" s="27"/>
      <c r="F66" s="433"/>
      <c r="G66" s="28"/>
      <c r="H66" s="27"/>
      <c r="I66" s="27"/>
      <c r="J66" s="444"/>
      <c r="K66" s="27"/>
      <c r="L66" s="385"/>
      <c r="M66" s="386"/>
      <c r="N66" s="62"/>
      <c r="O66" s="29"/>
      <c r="P66" s="29"/>
      <c r="Q66" s="29"/>
    </row>
    <row r="67" spans="2:17" ht="33" customHeight="1" thickBot="1" x14ac:dyDescent="0.3">
      <c r="B67" s="387"/>
      <c r="C67" s="220"/>
      <c r="D67" s="220"/>
      <c r="E67" s="220"/>
      <c r="F67" s="435"/>
      <c r="G67" s="220"/>
      <c r="H67" s="220"/>
      <c r="I67" s="220"/>
      <c r="J67" s="445"/>
      <c r="K67" s="220"/>
      <c r="L67" s="387"/>
      <c r="M67" s="388"/>
      <c r="N67" s="46"/>
      <c r="O67" s="46"/>
      <c r="P67" s="46"/>
      <c r="Q67" s="29"/>
    </row>
    <row r="68" spans="2:17" x14ac:dyDescent="0.25">
      <c r="B68" s="221"/>
      <c r="C68" s="3"/>
      <c r="D68" s="3"/>
      <c r="E68" s="3"/>
      <c r="F68" s="3"/>
      <c r="G68" s="3"/>
      <c r="H68" s="3"/>
      <c r="I68" s="3"/>
      <c r="J68" s="3"/>
      <c r="K68" s="3"/>
      <c r="L68" s="4"/>
      <c r="M68" s="4"/>
      <c r="N68" s="5"/>
      <c r="O68" s="5"/>
      <c r="P68" s="5"/>
      <c r="Q68" s="5"/>
    </row>
    <row r="69" spans="2:17" ht="15.75" thickBot="1" x14ac:dyDescent="0.3">
      <c r="B69" s="221"/>
      <c r="C69" s="3"/>
      <c r="D69" s="3"/>
      <c r="E69" s="3"/>
      <c r="F69" s="3"/>
      <c r="G69" s="3"/>
      <c r="H69" s="3"/>
      <c r="I69" s="3"/>
      <c r="J69" s="3"/>
      <c r="K69" s="3"/>
      <c r="L69" s="4"/>
      <c r="M69" s="4"/>
      <c r="N69" s="5"/>
      <c r="O69" s="5"/>
      <c r="P69" s="5"/>
      <c r="Q69" s="5"/>
    </row>
    <row r="70" spans="2:17" ht="33" customHeight="1" thickBot="1" x14ac:dyDescent="0.3">
      <c r="B70" s="222" t="s">
        <v>11</v>
      </c>
      <c r="C70" s="3"/>
      <c r="D70" s="223" t="s">
        <v>141</v>
      </c>
      <c r="E70" s="3"/>
      <c r="F70" s="3"/>
      <c r="G70" s="3"/>
      <c r="H70" s="36"/>
      <c r="I70" s="36"/>
      <c r="J70" s="53"/>
      <c r="K70" s="36"/>
      <c r="L70" s="35">
        <f>IF(M117=0,0,M117)</f>
        <v>0</v>
      </c>
      <c r="M70" s="4"/>
      <c r="N70" s="34" t="s">
        <v>3</v>
      </c>
      <c r="O70" s="17"/>
      <c r="P70" s="5"/>
      <c r="Q70" s="5"/>
    </row>
    <row r="71" spans="2:17" ht="16.5" customHeight="1" thickBot="1" x14ac:dyDescent="0.3">
      <c r="B71" s="21" t="s">
        <v>142</v>
      </c>
      <c r="C71" s="3"/>
      <c r="D71" s="223"/>
      <c r="E71" s="3"/>
      <c r="F71" s="3"/>
      <c r="G71" s="3"/>
      <c r="H71" s="36"/>
      <c r="I71" s="3"/>
      <c r="J71" s="3"/>
      <c r="K71" s="3"/>
      <c r="L71" s="48"/>
      <c r="M71" s="4"/>
      <c r="N71" s="34"/>
      <c r="O71" s="17"/>
      <c r="P71" s="5"/>
      <c r="Q71" s="5"/>
    </row>
    <row r="72" spans="2:17" ht="33" customHeight="1" thickBot="1" x14ac:dyDescent="0.3">
      <c r="B72" s="224" t="s">
        <v>143</v>
      </c>
      <c r="C72" s="3"/>
      <c r="D72" s="223" t="s">
        <v>144</v>
      </c>
      <c r="E72" s="3"/>
      <c r="F72" s="3"/>
      <c r="G72" s="3"/>
      <c r="H72" s="3"/>
      <c r="I72" s="3"/>
      <c r="J72" s="3"/>
      <c r="K72" s="3"/>
      <c r="L72" s="35">
        <f>N128</f>
        <v>0</v>
      </c>
      <c r="M72" s="4"/>
      <c r="N72" s="17" t="s">
        <v>3</v>
      </c>
      <c r="O72" s="17"/>
      <c r="P72" s="5"/>
      <c r="Q72" s="5"/>
    </row>
    <row r="73" spans="2:17" ht="16.5" customHeight="1" thickBot="1" x14ac:dyDescent="0.3">
      <c r="B73" s="21" t="s">
        <v>142</v>
      </c>
      <c r="C73" s="3"/>
      <c r="D73" s="223"/>
      <c r="E73" s="3"/>
      <c r="F73" s="3"/>
      <c r="G73" s="3"/>
      <c r="H73" s="3"/>
      <c r="I73" s="3"/>
      <c r="J73" s="3"/>
      <c r="K73" s="3"/>
      <c r="L73" s="48"/>
      <c r="M73" s="4"/>
      <c r="N73" s="17"/>
      <c r="O73" s="17"/>
      <c r="P73" s="5"/>
      <c r="Q73" s="5"/>
    </row>
    <row r="74" spans="2:17" ht="33" customHeight="1" thickBot="1" x14ac:dyDescent="0.3">
      <c r="B74" s="224" t="s">
        <v>12</v>
      </c>
      <c r="C74" s="3"/>
      <c r="D74" s="223" t="s">
        <v>145</v>
      </c>
      <c r="E74" s="3"/>
      <c r="F74" s="3"/>
      <c r="G74" s="3"/>
      <c r="H74" s="3"/>
      <c r="I74" s="3"/>
      <c r="J74" s="3"/>
      <c r="K74" s="3"/>
      <c r="L74" s="35">
        <f>J167</f>
        <v>0</v>
      </c>
      <c r="M74" s="4"/>
      <c r="N74" s="17" t="s">
        <v>3</v>
      </c>
      <c r="O74" s="17"/>
      <c r="P74" s="5"/>
      <c r="Q74" s="5"/>
    </row>
    <row r="75" spans="2:17" ht="15" customHeight="1" thickBot="1" x14ac:dyDescent="0.3">
      <c r="B75" s="21" t="s">
        <v>142</v>
      </c>
      <c r="C75" s="3"/>
      <c r="D75" s="223"/>
      <c r="E75" s="3"/>
      <c r="F75" s="3"/>
      <c r="G75" s="3"/>
      <c r="H75" s="3"/>
      <c r="I75" s="3"/>
      <c r="J75" s="3"/>
      <c r="K75" s="3"/>
      <c r="L75" s="48"/>
      <c r="M75" s="4"/>
      <c r="N75" s="17"/>
      <c r="O75" s="17"/>
      <c r="P75" s="5"/>
      <c r="Q75" s="5"/>
    </row>
    <row r="76" spans="2:17" ht="33" customHeight="1" thickBot="1" x14ac:dyDescent="0.3">
      <c r="B76" s="225" t="s">
        <v>146</v>
      </c>
      <c r="C76" s="3"/>
      <c r="D76" s="223" t="s">
        <v>147</v>
      </c>
      <c r="E76" s="3"/>
      <c r="F76" s="3"/>
      <c r="G76" s="3"/>
      <c r="H76" s="3"/>
      <c r="I76" s="3"/>
      <c r="J76" s="3"/>
      <c r="K76" s="3"/>
      <c r="L76" s="35">
        <f>N184</f>
        <v>0</v>
      </c>
      <c r="M76" s="4"/>
      <c r="N76" s="17" t="s">
        <v>3</v>
      </c>
      <c r="O76" s="17"/>
      <c r="P76" s="5"/>
      <c r="Q76" s="5"/>
    </row>
    <row r="77" spans="2:17" ht="15" customHeight="1" x14ac:dyDescent="0.25">
      <c r="B77" s="21" t="s">
        <v>142</v>
      </c>
      <c r="C77" s="3"/>
      <c r="D77" s="223"/>
      <c r="E77" s="3"/>
      <c r="F77" s="3"/>
      <c r="G77" s="3"/>
      <c r="H77" s="3"/>
      <c r="I77" s="3"/>
      <c r="J77" s="3"/>
      <c r="K77" s="3"/>
      <c r="L77" s="48"/>
      <c r="M77" s="4"/>
      <c r="N77" s="17"/>
      <c r="O77" s="17"/>
      <c r="P77" s="5"/>
      <c r="Q77" s="5"/>
    </row>
    <row r="78" spans="2:17" ht="4.5" customHeight="1" thickBot="1" x14ac:dyDescent="0.3">
      <c r="B78" s="19"/>
      <c r="C78" s="3"/>
      <c r="D78" s="19"/>
      <c r="E78" s="3"/>
      <c r="F78" s="3"/>
      <c r="G78" s="3"/>
      <c r="H78" s="3"/>
      <c r="I78" s="3"/>
      <c r="J78" s="3"/>
      <c r="K78" s="3"/>
      <c r="L78" s="48"/>
      <c r="M78" s="4"/>
      <c r="N78" s="17"/>
      <c r="O78" s="17"/>
      <c r="P78" s="5"/>
      <c r="Q78" s="5"/>
    </row>
    <row r="79" spans="2:17" ht="33" customHeight="1" thickTop="1" thickBot="1" x14ac:dyDescent="0.4">
      <c r="B79" s="16" t="s">
        <v>148</v>
      </c>
      <c r="C79" s="3"/>
      <c r="D79" s="19"/>
      <c r="E79" s="3"/>
      <c r="F79" s="18"/>
      <c r="G79" s="5"/>
      <c r="H79" s="3"/>
      <c r="I79" s="3"/>
      <c r="J79" s="32" t="s">
        <v>13</v>
      </c>
      <c r="K79" s="36"/>
      <c r="L79" s="226">
        <f>L70+L72+L74+L76</f>
        <v>0</v>
      </c>
      <c r="M79" s="4"/>
      <c r="N79" s="17" t="s">
        <v>3</v>
      </c>
      <c r="O79" s="17" t="s">
        <v>268</v>
      </c>
      <c r="P79" s="5"/>
      <c r="Q79" s="5"/>
    </row>
    <row r="80" spans="2:17" ht="16.5" thickTop="1" x14ac:dyDescent="0.25">
      <c r="B80" s="19"/>
      <c r="C80" s="3"/>
      <c r="D80" s="19"/>
      <c r="E80" s="3"/>
      <c r="F80" s="3"/>
      <c r="G80" s="3"/>
      <c r="H80" s="3"/>
      <c r="I80" s="3"/>
      <c r="J80" s="3"/>
      <c r="K80" s="3"/>
      <c r="L80" s="4"/>
      <c r="M80" s="4"/>
      <c r="N80" s="5"/>
      <c r="O80" s="5"/>
      <c r="P80" s="5"/>
      <c r="Q80" s="5"/>
    </row>
    <row r="81" spans="1:17" ht="7.5" customHeight="1" thickBot="1" x14ac:dyDescent="0.3">
      <c r="A81" s="2"/>
      <c r="B81" s="121"/>
      <c r="C81" s="121"/>
      <c r="D81" s="121"/>
      <c r="E81" s="121"/>
      <c r="F81" s="121"/>
      <c r="G81" s="121"/>
      <c r="H81" s="122"/>
      <c r="I81" s="121"/>
      <c r="J81" s="121"/>
      <c r="K81" s="123"/>
      <c r="L81" s="123"/>
      <c r="M81" s="124"/>
      <c r="N81" s="124"/>
      <c r="O81" s="124"/>
      <c r="P81" s="124"/>
    </row>
    <row r="82" spans="1:17" ht="30" customHeight="1" thickBot="1" x14ac:dyDescent="0.4">
      <c r="A82" s="2"/>
      <c r="B82" s="125" t="s">
        <v>84</v>
      </c>
      <c r="C82" s="121"/>
      <c r="D82" s="121"/>
      <c r="E82" s="126" t="s">
        <v>17</v>
      </c>
      <c r="F82" s="121"/>
      <c r="G82" s="121"/>
      <c r="H82" s="121"/>
      <c r="I82" s="121"/>
      <c r="J82" s="126" t="s">
        <v>80</v>
      </c>
      <c r="K82" s="308" t="e">
        <f>Box_EAM/Box_AT*100</f>
        <v>#DIV/0!</v>
      </c>
      <c r="L82" s="147"/>
      <c r="M82" s="139" t="s">
        <v>79</v>
      </c>
      <c r="N82" s="129"/>
      <c r="O82" s="129"/>
      <c r="P82" s="129"/>
    </row>
    <row r="83" spans="1:17" ht="18" customHeight="1" x14ac:dyDescent="0.25">
      <c r="B83" s="16"/>
      <c r="C83" s="5"/>
      <c r="D83" s="5"/>
      <c r="E83" s="5"/>
      <c r="F83" s="228"/>
      <c r="G83" s="120"/>
      <c r="H83" s="389"/>
      <c r="I83" s="389"/>
      <c r="J83" s="5"/>
      <c r="K83" s="24"/>
      <c r="L83" s="4"/>
      <c r="M83" s="4"/>
      <c r="N83" s="5"/>
      <c r="O83" s="5"/>
      <c r="P83" s="5"/>
      <c r="Q83" s="5"/>
    </row>
    <row r="84" spans="1:17" x14ac:dyDescent="0.25">
      <c r="B84" s="2"/>
      <c r="C84" s="2"/>
      <c r="D84" s="2"/>
      <c r="E84" s="2"/>
      <c r="F84" s="2"/>
      <c r="G84" s="2"/>
      <c r="H84" s="2"/>
      <c r="I84" s="25"/>
      <c r="J84" s="2"/>
      <c r="K84" s="2"/>
      <c r="L84" s="40"/>
      <c r="M84" s="40"/>
      <c r="N84" s="41"/>
      <c r="O84" s="41"/>
    </row>
    <row r="85" spans="1:17" ht="15.75" x14ac:dyDescent="0.25">
      <c r="D85" s="229"/>
      <c r="E85" s="230"/>
      <c r="F85" s="231"/>
      <c r="G85" s="217"/>
      <c r="H85" s="232"/>
    </row>
    <row r="86" spans="1:17" ht="19.5" customHeight="1" x14ac:dyDescent="0.25">
      <c r="B86" s="208" t="s">
        <v>149</v>
      </c>
      <c r="C86" s="208"/>
      <c r="D86" s="208"/>
      <c r="E86" s="208"/>
      <c r="F86" s="208"/>
      <c r="G86" s="208"/>
      <c r="H86" s="208"/>
      <c r="I86" s="208"/>
      <c r="J86" s="208"/>
      <c r="K86" s="208"/>
      <c r="L86" s="208"/>
      <c r="M86" s="208"/>
      <c r="N86" s="208"/>
      <c r="O86" s="208"/>
      <c r="P86" s="208"/>
      <c r="Q86" s="208"/>
    </row>
    <row r="87" spans="1:17" x14ac:dyDescent="0.25">
      <c r="B87" s="45" t="s">
        <v>150</v>
      </c>
      <c r="C87" s="45"/>
      <c r="D87" s="45"/>
      <c r="E87" s="45"/>
      <c r="F87" s="45"/>
      <c r="G87" s="45"/>
      <c r="H87" s="45"/>
      <c r="I87" s="45"/>
      <c r="J87" s="45"/>
      <c r="K87" s="45"/>
      <c r="L87" s="45"/>
      <c r="M87" s="45"/>
      <c r="N87" s="45"/>
      <c r="O87" s="45"/>
      <c r="P87" s="45"/>
      <c r="Q87" s="45"/>
    </row>
    <row r="88" spans="1:17" ht="18.75" x14ac:dyDescent="0.35">
      <c r="B88" s="61"/>
      <c r="C88" s="61"/>
      <c r="D88" s="61"/>
      <c r="E88" s="61"/>
      <c r="F88" s="61"/>
      <c r="G88" s="61"/>
      <c r="H88" s="61"/>
      <c r="I88" s="61"/>
      <c r="J88" s="61"/>
      <c r="K88" s="61"/>
      <c r="L88" s="233"/>
      <c r="M88" s="61"/>
      <c r="N88" s="234" t="s">
        <v>151</v>
      </c>
      <c r="O88" s="61"/>
      <c r="P88" s="62"/>
      <c r="Q88" s="61"/>
    </row>
    <row r="89" spans="1:17" ht="20.25" customHeight="1" x14ac:dyDescent="0.25">
      <c r="B89" s="19" t="s">
        <v>152</v>
      </c>
      <c r="C89" s="19"/>
      <c r="D89" s="19"/>
      <c r="E89" s="19"/>
      <c r="F89" s="19"/>
      <c r="G89" s="3"/>
      <c r="H89" s="3"/>
      <c r="I89" s="4"/>
      <c r="J89" s="33"/>
      <c r="K89" s="3"/>
      <c r="L89" s="53"/>
      <c r="M89" s="3"/>
      <c r="N89" s="36"/>
      <c r="O89" s="3"/>
      <c r="P89" s="37"/>
      <c r="Q89" s="3"/>
    </row>
    <row r="90" spans="1:17" ht="23.25" customHeight="1" x14ac:dyDescent="0.25">
      <c r="B90" s="19" t="s">
        <v>153</v>
      </c>
      <c r="C90" s="19"/>
      <c r="D90" s="19"/>
      <c r="E90" s="50">
        <v>1</v>
      </c>
      <c r="F90" s="19"/>
      <c r="G90" s="3"/>
      <c r="H90" s="3"/>
      <c r="I90" s="3"/>
      <c r="J90" s="3"/>
      <c r="K90" s="3"/>
      <c r="L90" s="36"/>
      <c r="M90" s="3"/>
      <c r="N90" s="3"/>
      <c r="O90" s="3"/>
      <c r="P90" s="3"/>
      <c r="Q90" s="3"/>
    </row>
    <row r="91" spans="1:17" ht="15.75" x14ac:dyDescent="0.25">
      <c r="B91" s="47" t="s">
        <v>154</v>
      </c>
      <c r="C91" s="19"/>
      <c r="D91" s="19"/>
      <c r="E91" s="50"/>
      <c r="F91" s="19"/>
      <c r="G91" s="3"/>
      <c r="H91" s="3"/>
      <c r="I91" s="3"/>
      <c r="J91" s="3"/>
      <c r="K91" s="3"/>
      <c r="L91" s="36"/>
      <c r="M91" s="3"/>
      <c r="N91" s="3"/>
      <c r="O91" s="3"/>
      <c r="P91" s="3"/>
      <c r="Q91" s="3"/>
    </row>
    <row r="92" spans="1:17" ht="15.75" x14ac:dyDescent="0.25">
      <c r="B92" s="19" t="s">
        <v>155</v>
      </c>
      <c r="C92" s="19"/>
      <c r="D92" s="19"/>
      <c r="E92" s="19"/>
      <c r="F92" s="19"/>
      <c r="G92" s="3"/>
      <c r="H92" s="3"/>
      <c r="I92" s="3"/>
      <c r="J92" s="3"/>
      <c r="K92" s="3"/>
      <c r="L92" s="36"/>
      <c r="M92" s="3"/>
      <c r="N92" s="3"/>
      <c r="O92" s="3"/>
      <c r="P92" s="3"/>
      <c r="Q92" s="3"/>
    </row>
    <row r="93" spans="1:17" ht="15.75" x14ac:dyDescent="0.25">
      <c r="B93" s="235" t="s">
        <v>156</v>
      </c>
      <c r="C93" s="34" t="s">
        <v>157</v>
      </c>
      <c r="D93" s="19"/>
      <c r="E93" s="73">
        <v>1</v>
      </c>
      <c r="F93" s="19"/>
      <c r="G93" s="3"/>
      <c r="H93" s="3"/>
      <c r="I93" s="3"/>
      <c r="J93" s="3"/>
      <c r="K93" s="3"/>
      <c r="L93" s="36"/>
      <c r="M93" s="3"/>
      <c r="N93" s="3"/>
      <c r="O93" s="3"/>
      <c r="P93" s="3"/>
      <c r="Q93" s="3"/>
    </row>
    <row r="94" spans="1:17" ht="15.75" x14ac:dyDescent="0.25">
      <c r="B94" s="236" t="s">
        <v>158</v>
      </c>
      <c r="C94" s="34" t="s">
        <v>157</v>
      </c>
      <c r="D94" s="19"/>
      <c r="E94" s="73">
        <v>0.9</v>
      </c>
      <c r="F94" s="19"/>
      <c r="G94" s="3"/>
      <c r="H94" s="3"/>
      <c r="I94" s="3"/>
      <c r="J94" s="3"/>
      <c r="K94" s="3"/>
      <c r="L94" s="36"/>
      <c r="M94" s="3"/>
      <c r="N94" s="3"/>
      <c r="O94" s="3"/>
      <c r="P94" s="3"/>
      <c r="Q94" s="3"/>
    </row>
    <row r="95" spans="1:17" ht="15.75" x14ac:dyDescent="0.25">
      <c r="B95" s="236" t="s">
        <v>159</v>
      </c>
      <c r="C95" s="34" t="s">
        <v>157</v>
      </c>
      <c r="D95" s="19"/>
      <c r="E95" s="73">
        <v>0.7</v>
      </c>
      <c r="F95" s="19"/>
      <c r="G95" s="3"/>
      <c r="H95" s="3"/>
      <c r="I95" s="3"/>
      <c r="J95" s="3"/>
      <c r="K95" s="3"/>
      <c r="L95" s="36"/>
      <c r="M95" s="3"/>
      <c r="N95" s="3"/>
      <c r="O95" s="3"/>
      <c r="P95" s="3"/>
      <c r="Q95" s="3"/>
    </row>
    <row r="96" spans="1:17" ht="15.75" x14ac:dyDescent="0.25">
      <c r="B96" s="236" t="s">
        <v>160</v>
      </c>
      <c r="C96" s="34" t="s">
        <v>157</v>
      </c>
      <c r="D96" s="19"/>
      <c r="E96" s="73">
        <v>0.45</v>
      </c>
      <c r="F96" s="19"/>
      <c r="G96" s="3"/>
      <c r="H96" s="3"/>
      <c r="I96" s="3"/>
      <c r="J96" s="3"/>
      <c r="K96" s="3"/>
      <c r="L96" s="36"/>
      <c r="M96" s="3"/>
      <c r="N96" s="3"/>
      <c r="O96" s="3"/>
      <c r="P96" s="3"/>
      <c r="Q96" s="3"/>
    </row>
    <row r="97" spans="1:27" ht="18" x14ac:dyDescent="0.25">
      <c r="B97" s="236" t="s">
        <v>161</v>
      </c>
      <c r="C97" s="34" t="s">
        <v>157</v>
      </c>
      <c r="D97" s="19"/>
      <c r="E97" s="73">
        <v>0.25</v>
      </c>
      <c r="F97" s="19"/>
      <c r="G97" s="3"/>
      <c r="H97" s="3"/>
      <c r="I97" s="3"/>
      <c r="J97" s="3"/>
      <c r="K97" s="209"/>
      <c r="L97" s="36"/>
      <c r="M97" s="3"/>
      <c r="N97" s="3"/>
      <c r="O97" s="3"/>
      <c r="P97" s="3"/>
      <c r="Q97" s="3"/>
    </row>
    <row r="98" spans="1:27" ht="6.75" customHeight="1" thickBot="1" x14ac:dyDescent="0.3">
      <c r="B98" s="19"/>
      <c r="C98" s="19"/>
      <c r="D98" s="19"/>
      <c r="E98" s="19"/>
      <c r="F98" s="19"/>
      <c r="G98" s="3"/>
      <c r="H98" s="3"/>
      <c r="I98" s="3"/>
      <c r="J98" s="3"/>
      <c r="K98" s="3"/>
      <c r="L98" s="36"/>
      <c r="M98" s="3"/>
      <c r="N98" s="3"/>
      <c r="O98" s="3"/>
      <c r="P98" s="3"/>
      <c r="Q98" s="3"/>
    </row>
    <row r="99" spans="1:27" ht="30" customHeight="1" thickBot="1" x14ac:dyDescent="0.3">
      <c r="B99" s="19"/>
      <c r="C99" s="19"/>
      <c r="D99" s="223" t="s">
        <v>18</v>
      </c>
      <c r="E99" s="19"/>
      <c r="F99" s="19"/>
      <c r="G99" s="3"/>
      <c r="H99" s="380"/>
      <c r="I99" s="381"/>
      <c r="J99" s="19"/>
      <c r="K99" s="19" t="s">
        <v>162</v>
      </c>
      <c r="L99" s="36"/>
      <c r="M99" s="3"/>
      <c r="N99" s="3"/>
      <c r="O99" s="3"/>
      <c r="P99" s="3"/>
      <c r="Q99" s="3"/>
    </row>
    <row r="100" spans="1:27" ht="11.25" customHeight="1" thickBot="1" x14ac:dyDescent="0.3">
      <c r="B100" s="19"/>
      <c r="C100" s="19"/>
      <c r="D100" s="19"/>
      <c r="E100" s="19"/>
      <c r="F100" s="19"/>
      <c r="G100" s="3"/>
      <c r="H100" s="11"/>
      <c r="I100" s="5"/>
      <c r="J100" s="19"/>
      <c r="K100" s="19"/>
      <c r="L100" s="36"/>
      <c r="M100" s="3"/>
      <c r="N100" s="3"/>
      <c r="O100" s="3"/>
      <c r="P100" s="3"/>
      <c r="Q100" s="3"/>
    </row>
    <row r="101" spans="1:27" ht="30" customHeight="1" thickBot="1" x14ac:dyDescent="0.3">
      <c r="B101" s="223" t="s">
        <v>163</v>
      </c>
      <c r="C101" s="19"/>
      <c r="D101" s="19"/>
      <c r="E101" s="19"/>
      <c r="F101" s="19"/>
      <c r="G101" s="3"/>
      <c r="H101" s="446"/>
      <c r="I101" s="447"/>
      <c r="J101" s="17"/>
      <c r="K101" s="19" t="s">
        <v>164</v>
      </c>
      <c r="L101" s="36"/>
      <c r="M101" s="3"/>
      <c r="N101" s="3"/>
      <c r="O101" s="3"/>
      <c r="P101" s="3"/>
      <c r="Q101" s="3"/>
    </row>
    <row r="102" spans="1:27" ht="6.75" customHeight="1" x14ac:dyDescent="0.25">
      <c r="B102" s="19"/>
      <c r="C102" s="19"/>
      <c r="D102" s="19"/>
      <c r="E102" s="19"/>
      <c r="F102" s="19"/>
      <c r="G102" s="3"/>
      <c r="H102" s="11"/>
      <c r="I102" s="5"/>
      <c r="J102" s="19"/>
      <c r="K102" s="19"/>
      <c r="L102" s="36"/>
      <c r="M102" s="3"/>
      <c r="N102" s="3"/>
      <c r="O102" s="3"/>
      <c r="P102" s="3"/>
      <c r="Q102" s="33"/>
    </row>
    <row r="103" spans="1:27" ht="18" x14ac:dyDescent="0.25">
      <c r="B103" s="17" t="s">
        <v>165</v>
      </c>
      <c r="C103" s="19"/>
      <c r="D103" s="19"/>
      <c r="E103" s="19"/>
      <c r="F103" s="19"/>
      <c r="G103" s="3"/>
      <c r="H103" s="11"/>
      <c r="I103" s="5"/>
      <c r="J103" s="17"/>
      <c r="K103" s="19"/>
      <c r="L103" s="36"/>
      <c r="M103" s="3"/>
      <c r="N103" s="3"/>
      <c r="O103" s="3"/>
      <c r="P103" s="3"/>
      <c r="Q103" s="33"/>
    </row>
    <row r="104" spans="1:27" s="5" customFormat="1" ht="17.25" customHeight="1" x14ac:dyDescent="0.25">
      <c r="A104"/>
      <c r="B104" s="17" t="s">
        <v>166</v>
      </c>
      <c r="E104" s="73">
        <v>0.08</v>
      </c>
      <c r="F104" s="17"/>
      <c r="H104" s="49"/>
      <c r="J104" s="17"/>
      <c r="K104" s="17"/>
      <c r="R104" s="41"/>
      <c r="S104" s="41"/>
      <c r="T104" s="41"/>
      <c r="U104" s="41"/>
      <c r="V104" s="41"/>
      <c r="W104" s="41"/>
      <c r="X104" s="41"/>
      <c r="Y104" s="41"/>
      <c r="Z104" s="41"/>
      <c r="AA104" s="41"/>
    </row>
    <row r="105" spans="1:27" s="5" customFormat="1" ht="17.25" customHeight="1" x14ac:dyDescent="0.25">
      <c r="A105"/>
      <c r="B105" s="17" t="s">
        <v>167</v>
      </c>
      <c r="E105" s="238">
        <v>0.13</v>
      </c>
      <c r="F105" s="17"/>
      <c r="G105" s="78"/>
      <c r="H105" s="49"/>
      <c r="J105" s="17"/>
      <c r="K105" s="17"/>
      <c r="R105" s="41"/>
      <c r="S105" s="41"/>
      <c r="T105" s="41"/>
      <c r="U105" s="41"/>
      <c r="V105" s="41"/>
      <c r="W105" s="41"/>
      <c r="X105" s="41"/>
      <c r="Y105" s="41"/>
      <c r="Z105" s="41"/>
      <c r="AA105" s="41"/>
    </row>
    <row r="106" spans="1:27" s="5" customFormat="1" ht="17.25" customHeight="1" x14ac:dyDescent="0.25">
      <c r="A106"/>
      <c r="B106" s="17" t="s">
        <v>168</v>
      </c>
      <c r="E106" s="73">
        <v>0.19</v>
      </c>
      <c r="F106" s="17"/>
      <c r="H106" s="49"/>
      <c r="J106" s="17"/>
      <c r="K106" s="17"/>
      <c r="R106" s="41"/>
      <c r="S106" s="41"/>
      <c r="T106" s="41"/>
      <c r="U106" s="41"/>
      <c r="V106" s="41"/>
      <c r="W106" s="41"/>
      <c r="X106" s="41"/>
      <c r="Y106" s="41"/>
      <c r="Z106" s="41"/>
      <c r="AA106" s="41"/>
    </row>
    <row r="107" spans="1:27" s="5" customFormat="1" ht="17.25" customHeight="1" x14ac:dyDescent="0.25">
      <c r="A107"/>
      <c r="B107" s="17" t="s">
        <v>169</v>
      </c>
      <c r="E107" s="73">
        <v>0.23</v>
      </c>
      <c r="F107" s="17"/>
      <c r="H107" s="49"/>
      <c r="I107" s="237"/>
      <c r="J107" s="17"/>
      <c r="K107" s="17"/>
      <c r="R107" s="41"/>
      <c r="S107" s="41"/>
      <c r="T107" s="41"/>
      <c r="U107" s="41"/>
      <c r="V107" s="41"/>
      <c r="W107" s="41"/>
      <c r="X107" s="41"/>
      <c r="Y107" s="41"/>
      <c r="Z107" s="41"/>
      <c r="AA107" s="41"/>
    </row>
    <row r="108" spans="1:27" s="5" customFormat="1" ht="17.25" customHeight="1" x14ac:dyDescent="0.25">
      <c r="A108"/>
      <c r="B108" s="17" t="s">
        <v>170</v>
      </c>
      <c r="E108" s="238">
        <v>0.28999999999999998</v>
      </c>
      <c r="F108" s="17"/>
      <c r="G108" s="78"/>
      <c r="H108" s="49"/>
      <c r="J108" s="17"/>
      <c r="K108" s="17"/>
      <c r="R108" s="41"/>
      <c r="S108" s="41"/>
      <c r="T108" s="41"/>
      <c r="U108" s="41"/>
      <c r="V108" s="41"/>
      <c r="W108" s="41"/>
      <c r="X108" s="41"/>
      <c r="Y108" s="41"/>
      <c r="Z108" s="41"/>
      <c r="AA108" s="41"/>
    </row>
    <row r="109" spans="1:27" s="5" customFormat="1" ht="17.25" customHeight="1" x14ac:dyDescent="0.25">
      <c r="A109"/>
      <c r="B109" s="17" t="s">
        <v>171</v>
      </c>
      <c r="E109" s="238">
        <v>0.33</v>
      </c>
      <c r="F109" s="17"/>
      <c r="G109" s="78"/>
      <c r="H109" s="49"/>
      <c r="J109" s="17"/>
      <c r="K109" s="17"/>
      <c r="R109" s="41"/>
      <c r="S109" s="41"/>
      <c r="T109" s="41"/>
      <c r="U109" s="41"/>
      <c r="V109" s="41"/>
      <c r="W109" s="41"/>
      <c r="X109" s="41"/>
      <c r="Y109" s="41"/>
      <c r="Z109" s="41"/>
      <c r="AA109" s="41"/>
    </row>
    <row r="110" spans="1:27" s="5" customFormat="1" ht="17.25" customHeight="1" x14ac:dyDescent="0.25">
      <c r="A110"/>
      <c r="B110" s="17" t="s">
        <v>172</v>
      </c>
      <c r="E110" s="73">
        <v>0.37</v>
      </c>
      <c r="F110" s="17"/>
      <c r="H110" s="49"/>
      <c r="J110" s="17"/>
      <c r="K110" s="17"/>
      <c r="R110" s="41"/>
      <c r="S110" s="41"/>
      <c r="T110" s="41"/>
      <c r="U110" s="41"/>
      <c r="V110" s="41"/>
      <c r="W110" s="41"/>
      <c r="X110" s="41"/>
      <c r="Y110" s="41"/>
      <c r="Z110" s="41"/>
      <c r="AA110" s="41"/>
    </row>
    <row r="111" spans="1:27" s="5" customFormat="1" ht="17.25" customHeight="1" thickBot="1" x14ac:dyDescent="0.3">
      <c r="A111"/>
      <c r="B111" s="17" t="s">
        <v>173</v>
      </c>
      <c r="E111" s="238">
        <v>0.44</v>
      </c>
      <c r="F111" s="17"/>
      <c r="G111" s="78"/>
      <c r="H111" s="49"/>
      <c r="J111" s="17"/>
      <c r="K111" s="239"/>
      <c r="R111" s="41"/>
      <c r="S111" s="41"/>
      <c r="T111" s="41"/>
      <c r="U111" s="41"/>
      <c r="V111" s="41"/>
      <c r="W111" s="41"/>
      <c r="X111" s="41"/>
      <c r="Y111" s="41"/>
      <c r="Z111" s="41"/>
      <c r="AA111" s="41"/>
    </row>
    <row r="112" spans="1:27" ht="30" customHeight="1" thickBot="1" x14ac:dyDescent="0.3">
      <c r="B112" s="19"/>
      <c r="C112" s="19"/>
      <c r="D112" s="223" t="s">
        <v>174</v>
      </c>
      <c r="E112" s="19"/>
      <c r="F112" s="50"/>
      <c r="G112" s="3"/>
      <c r="H112" s="448">
        <f>IF(DUA=0,0,LOOKUP(DUA,RooftopTable[DU/A],RooftopTable[reduction factor]))</f>
        <v>0</v>
      </c>
      <c r="I112" s="449"/>
      <c r="J112" s="19"/>
      <c r="K112" s="19" t="s">
        <v>175</v>
      </c>
      <c r="L112" s="36"/>
      <c r="M112" s="3"/>
      <c r="N112" s="3"/>
      <c r="O112" s="3"/>
      <c r="P112" s="3"/>
      <c r="Q112" s="33"/>
    </row>
    <row r="113" spans="1:33" ht="7.5" customHeight="1" x14ac:dyDescent="0.25">
      <c r="B113" s="19"/>
      <c r="C113" s="19"/>
      <c r="D113" s="19"/>
      <c r="E113" s="19"/>
      <c r="F113" s="19"/>
      <c r="G113" s="3"/>
      <c r="H113" s="55"/>
      <c r="I113" s="5"/>
      <c r="J113" s="19"/>
      <c r="K113" s="19"/>
      <c r="L113" s="219"/>
      <c r="M113" s="5"/>
      <c r="N113" s="5"/>
      <c r="O113" s="3"/>
      <c r="P113" s="3"/>
      <c r="Q113" s="33"/>
    </row>
    <row r="114" spans="1:33" ht="15" customHeight="1" thickBot="1" x14ac:dyDescent="0.3">
      <c r="B114" s="19" t="s">
        <v>176</v>
      </c>
      <c r="C114" s="19"/>
      <c r="D114" s="19"/>
      <c r="E114" s="19"/>
      <c r="F114" s="19"/>
      <c r="G114" s="3"/>
      <c r="H114" s="55"/>
      <c r="I114" s="5"/>
      <c r="J114" s="19"/>
      <c r="K114" s="19"/>
      <c r="L114" s="219"/>
      <c r="M114" s="5"/>
      <c r="N114" s="5"/>
      <c r="O114" s="3"/>
      <c r="P114" s="3"/>
      <c r="Q114" s="33"/>
    </row>
    <row r="115" spans="1:33" ht="30" customHeight="1" thickBot="1" x14ac:dyDescent="0.3">
      <c r="B115" s="19"/>
      <c r="C115" s="223" t="s">
        <v>177</v>
      </c>
      <c r="D115" s="19"/>
      <c r="E115" s="19"/>
      <c r="F115" s="19"/>
      <c r="G115" s="3"/>
      <c r="H115" s="450">
        <f>IF(Box_AT=0,0,H112*Box_AT)</f>
        <v>0</v>
      </c>
      <c r="I115" s="451"/>
      <c r="J115" s="19" t="s">
        <v>3</v>
      </c>
      <c r="K115" s="223" t="s">
        <v>178</v>
      </c>
      <c r="L115" s="219"/>
      <c r="M115" s="5"/>
      <c r="N115" s="5"/>
      <c r="O115" s="3"/>
      <c r="P115" s="3"/>
      <c r="Q115" s="33"/>
    </row>
    <row r="116" spans="1:33" ht="8.25" customHeight="1" thickBot="1" x14ac:dyDescent="0.3">
      <c r="B116" s="19"/>
      <c r="C116" s="19"/>
      <c r="D116" s="19"/>
      <c r="E116" s="19"/>
      <c r="F116" s="19"/>
      <c r="G116" s="3"/>
      <c r="H116" s="36"/>
      <c r="I116" s="3"/>
      <c r="J116" s="3"/>
      <c r="K116" s="3"/>
      <c r="L116" s="219"/>
      <c r="M116" s="5"/>
      <c r="N116" s="5"/>
      <c r="O116" s="3"/>
      <c r="P116" s="3"/>
      <c r="Q116" s="33"/>
    </row>
    <row r="117" spans="1:33" s="244" customFormat="1" ht="30" customHeight="1" thickBot="1" x14ac:dyDescent="0.3">
      <c r="B117" s="223" t="s">
        <v>272</v>
      </c>
      <c r="C117" s="223"/>
      <c r="D117" s="223"/>
      <c r="E117" s="223"/>
      <c r="F117" s="223"/>
      <c r="G117" s="240"/>
      <c r="H117" s="241"/>
      <c r="I117" s="240"/>
      <c r="J117" s="240"/>
      <c r="K117" s="240"/>
      <c r="L117" s="242"/>
      <c r="M117" s="390">
        <f>H99*H101*H115*0.6</f>
        <v>0</v>
      </c>
      <c r="N117" s="391"/>
      <c r="O117" s="223" t="s">
        <v>3</v>
      </c>
      <c r="P117" s="243" t="s">
        <v>179</v>
      </c>
      <c r="Q117" s="227"/>
    </row>
    <row r="118" spans="1:33" ht="15.75" x14ac:dyDescent="0.25">
      <c r="B118" s="19" t="s">
        <v>180</v>
      </c>
      <c r="C118" s="19"/>
      <c r="D118" s="19"/>
      <c r="E118" s="19"/>
      <c r="F118" s="19"/>
      <c r="G118" s="3"/>
      <c r="H118" s="5"/>
      <c r="I118" s="3"/>
      <c r="J118" s="3"/>
      <c r="K118" s="3"/>
      <c r="L118" s="36"/>
      <c r="M118" s="3"/>
      <c r="N118" s="3"/>
      <c r="O118" s="3"/>
      <c r="P118" s="3"/>
      <c r="Q118" s="33"/>
    </row>
    <row r="119" spans="1:33" ht="10.5" customHeight="1" x14ac:dyDescent="0.25">
      <c r="B119" s="2"/>
      <c r="C119" s="2"/>
      <c r="D119" s="2"/>
      <c r="E119" s="25"/>
      <c r="F119" s="2"/>
      <c r="G119" s="2"/>
      <c r="H119" s="2"/>
      <c r="I119" s="2"/>
      <c r="J119" s="2"/>
      <c r="K119" s="2"/>
      <c r="L119" s="26"/>
      <c r="M119" s="26"/>
    </row>
    <row r="120" spans="1:33" ht="16.5" customHeight="1" x14ac:dyDescent="0.25">
      <c r="B120" s="208" t="s">
        <v>181</v>
      </c>
      <c r="C120" s="208"/>
      <c r="D120" s="208"/>
      <c r="E120" s="208"/>
      <c r="F120" s="208"/>
      <c r="G120" s="208"/>
      <c r="H120" s="208"/>
      <c r="I120" s="208"/>
      <c r="J120" s="208"/>
      <c r="K120" s="208"/>
      <c r="L120" s="208"/>
      <c r="M120" s="208"/>
      <c r="N120" s="208"/>
      <c r="O120" s="208"/>
      <c r="P120" s="208"/>
      <c r="Q120" s="208"/>
    </row>
    <row r="121" spans="1:33" ht="9.75" customHeight="1" x14ac:dyDescent="0.25">
      <c r="B121" s="208"/>
      <c r="C121" s="208"/>
      <c r="D121" s="208"/>
      <c r="E121" s="208"/>
      <c r="F121" s="208"/>
      <c r="G121" s="208"/>
      <c r="H121" s="208"/>
      <c r="I121" s="208"/>
      <c r="J121" s="208"/>
      <c r="K121" s="208"/>
      <c r="L121" s="208"/>
      <c r="M121" s="208"/>
      <c r="N121" s="208"/>
      <c r="O121" s="208"/>
      <c r="P121" s="208"/>
      <c r="Q121" s="208"/>
    </row>
    <row r="122" spans="1:33" x14ac:dyDescent="0.25">
      <c r="B122" s="45" t="s">
        <v>182</v>
      </c>
      <c r="C122" s="45"/>
      <c r="D122" s="45"/>
      <c r="E122" s="45"/>
      <c r="F122" s="45"/>
      <c r="G122" s="45"/>
      <c r="H122" s="45"/>
      <c r="I122" s="45"/>
      <c r="J122" s="45"/>
      <c r="K122" s="45"/>
      <c r="L122" s="45"/>
      <c r="M122" s="45"/>
      <c r="N122" s="45"/>
      <c r="O122" s="45"/>
      <c r="P122" s="45"/>
      <c r="Q122" s="45"/>
    </row>
    <row r="123" spans="1:33" ht="15" customHeight="1" x14ac:dyDescent="0.35">
      <c r="B123" s="61"/>
      <c r="C123" s="61"/>
      <c r="D123" s="61"/>
      <c r="E123" s="61"/>
      <c r="F123" s="61"/>
      <c r="G123" s="61"/>
      <c r="H123" s="61"/>
      <c r="I123" s="61"/>
      <c r="J123" s="61"/>
      <c r="K123" s="61"/>
      <c r="L123" s="233"/>
      <c r="M123" s="245" t="s">
        <v>9</v>
      </c>
      <c r="N123" s="62"/>
      <c r="O123" s="61"/>
      <c r="P123" s="62"/>
      <c r="Q123" s="61"/>
    </row>
    <row r="124" spans="1:33" s="5" customFormat="1" ht="15.75" x14ac:dyDescent="0.25">
      <c r="A124"/>
      <c r="B124" s="31" t="s">
        <v>183</v>
      </c>
      <c r="R124" s="41"/>
      <c r="S124" s="41"/>
      <c r="T124" s="41"/>
      <c r="U124" s="41"/>
      <c r="V124" s="41"/>
      <c r="W124" s="41"/>
      <c r="X124" s="41"/>
      <c r="Y124" s="41"/>
      <c r="Z124" s="41"/>
      <c r="AA124" s="41"/>
      <c r="AB124" s="41"/>
      <c r="AC124" s="41"/>
      <c r="AD124" s="41"/>
      <c r="AE124" s="41"/>
      <c r="AF124" s="41"/>
      <c r="AG124" s="41"/>
    </row>
    <row r="125" spans="1:33" s="5" customFormat="1" ht="8.25" customHeight="1" thickBot="1" x14ac:dyDescent="0.3">
      <c r="A125"/>
      <c r="C125" s="4"/>
      <c r="R125" s="41"/>
      <c r="S125" s="41"/>
      <c r="T125" s="41"/>
      <c r="U125" s="41"/>
      <c r="V125" s="41"/>
      <c r="W125" s="41"/>
      <c r="X125" s="41"/>
      <c r="Y125" s="41"/>
      <c r="Z125" s="41"/>
      <c r="AA125" s="41"/>
      <c r="AB125" s="41"/>
      <c r="AC125" s="41"/>
      <c r="AD125" s="41"/>
      <c r="AE125" s="41"/>
      <c r="AF125" s="41"/>
      <c r="AG125" s="41"/>
    </row>
    <row r="126" spans="1:33" s="5" customFormat="1" ht="30" customHeight="1" thickBot="1" x14ac:dyDescent="0.3">
      <c r="A126"/>
      <c r="B126" s="17" t="s">
        <v>184</v>
      </c>
      <c r="C126" s="17"/>
      <c r="D126" s="17"/>
      <c r="F126" s="82"/>
      <c r="G126" s="82"/>
      <c r="H126" s="246"/>
      <c r="I126" s="247"/>
      <c r="J126" s="17" t="s">
        <v>19</v>
      </c>
      <c r="R126" s="41"/>
      <c r="S126" s="41"/>
      <c r="T126" s="41"/>
      <c r="U126" s="41"/>
      <c r="V126" s="41"/>
      <c r="W126" s="41"/>
      <c r="X126" s="41"/>
      <c r="Y126" s="41"/>
      <c r="Z126" s="41"/>
      <c r="AA126" s="41"/>
      <c r="AB126" s="41"/>
      <c r="AC126" s="41"/>
      <c r="AD126" s="41"/>
      <c r="AE126" s="41"/>
      <c r="AF126" s="41"/>
      <c r="AG126" s="41"/>
    </row>
    <row r="127" spans="1:33" s="5" customFormat="1" ht="7.5" customHeight="1" thickBot="1" x14ac:dyDescent="0.3">
      <c r="A127"/>
      <c r="B127" s="17"/>
      <c r="C127" s="17"/>
      <c r="D127" s="17"/>
      <c r="F127" s="247"/>
      <c r="G127" s="248"/>
      <c r="I127" s="247"/>
      <c r="R127" s="41"/>
      <c r="S127" s="41"/>
      <c r="T127" s="41"/>
      <c r="U127" s="41"/>
      <c r="V127" s="41"/>
      <c r="W127" s="41"/>
      <c r="X127" s="41"/>
      <c r="Y127" s="41"/>
      <c r="Z127" s="41"/>
      <c r="AA127" s="41"/>
      <c r="AB127" s="41"/>
      <c r="AC127" s="41"/>
      <c r="AD127" s="41"/>
      <c r="AE127" s="41"/>
      <c r="AF127" s="41"/>
      <c r="AG127" s="41"/>
    </row>
    <row r="128" spans="1:33" s="5" customFormat="1" ht="30" customHeight="1" thickBot="1" x14ac:dyDescent="0.3">
      <c r="A128"/>
      <c r="B128" s="249" t="s">
        <v>273</v>
      </c>
      <c r="C128" s="17"/>
      <c r="D128" s="17"/>
      <c r="M128" s="250"/>
      <c r="N128" s="35">
        <f>H126*0.04*Box_AT*0.6</f>
        <v>0</v>
      </c>
      <c r="O128" s="17" t="s">
        <v>3</v>
      </c>
      <c r="P128" s="17" t="s">
        <v>185</v>
      </c>
      <c r="R128" s="41"/>
      <c r="S128" s="41"/>
      <c r="T128" s="41"/>
      <c r="U128" s="41"/>
      <c r="V128" s="41"/>
      <c r="W128" s="41"/>
      <c r="X128" s="41"/>
      <c r="Y128" s="41"/>
      <c r="Z128" s="41"/>
      <c r="AA128" s="41"/>
      <c r="AB128" s="41"/>
      <c r="AC128" s="41"/>
      <c r="AD128" s="41"/>
      <c r="AE128" s="41"/>
      <c r="AF128" s="41"/>
      <c r="AG128" s="41"/>
    </row>
    <row r="129" spans="1:33" s="5" customFormat="1" ht="12" customHeight="1" x14ac:dyDescent="0.25">
      <c r="A129"/>
      <c r="B129" s="17" t="s">
        <v>186</v>
      </c>
      <c r="C129" s="17"/>
      <c r="D129" s="17"/>
      <c r="J129" s="248"/>
      <c r="N129" s="18"/>
      <c r="R129" s="41"/>
      <c r="S129" s="41"/>
      <c r="T129" s="41"/>
      <c r="U129" s="41"/>
      <c r="V129" s="41"/>
      <c r="W129" s="41"/>
      <c r="X129" s="41"/>
      <c r="Y129" s="41"/>
      <c r="Z129" s="41"/>
      <c r="AA129" s="41"/>
      <c r="AB129" s="41"/>
      <c r="AC129" s="41"/>
      <c r="AD129" s="41"/>
      <c r="AE129" s="41"/>
      <c r="AF129" s="41"/>
      <c r="AG129" s="41"/>
    </row>
    <row r="130" spans="1:33" ht="10.5" customHeight="1" x14ac:dyDescent="0.25">
      <c r="B130" s="2"/>
      <c r="C130" s="2"/>
      <c r="D130" s="2"/>
      <c r="E130" s="2"/>
      <c r="F130" s="2"/>
      <c r="G130" s="2"/>
      <c r="H130" s="2"/>
      <c r="I130" s="2"/>
      <c r="J130" s="2"/>
      <c r="K130" s="2"/>
      <c r="L130" s="26"/>
      <c r="M130" s="26"/>
    </row>
    <row r="131" spans="1:33" ht="18" x14ac:dyDescent="0.25">
      <c r="B131" s="59" t="s">
        <v>187</v>
      </c>
      <c r="C131" s="59"/>
      <c r="D131" s="59"/>
      <c r="E131" s="59"/>
      <c r="F131" s="59"/>
      <c r="G131" s="59"/>
      <c r="H131" s="59"/>
      <c r="I131" s="59"/>
      <c r="J131" s="59"/>
      <c r="K131" s="59"/>
      <c r="L131" s="59"/>
      <c r="M131" s="59"/>
      <c r="N131" s="59"/>
      <c r="O131" s="59"/>
      <c r="P131" s="59"/>
      <c r="Q131" s="59"/>
    </row>
    <row r="132" spans="1:33" ht="6.75" customHeight="1" x14ac:dyDescent="0.25">
      <c r="B132" s="60"/>
      <c r="C132" s="60"/>
      <c r="D132" s="60"/>
      <c r="E132" s="60"/>
      <c r="F132" s="60"/>
      <c r="G132" s="60"/>
      <c r="H132" s="60"/>
      <c r="I132" s="60"/>
      <c r="J132" s="60"/>
      <c r="K132" s="60"/>
      <c r="L132" s="60"/>
      <c r="M132" s="60"/>
      <c r="N132" s="61"/>
      <c r="O132" s="62"/>
      <c r="P132" s="62"/>
      <c r="Q132" s="62"/>
    </row>
    <row r="133" spans="1:33" x14ac:dyDescent="0.25">
      <c r="B133" s="63" t="s">
        <v>20</v>
      </c>
      <c r="C133" s="60"/>
      <c r="D133" s="60"/>
      <c r="E133" s="60"/>
      <c r="F133" s="60"/>
      <c r="G133" s="60"/>
      <c r="H133" s="60"/>
      <c r="I133" s="60"/>
      <c r="J133" s="60"/>
      <c r="K133" s="60"/>
      <c r="L133" s="60"/>
      <c r="M133" s="60"/>
      <c r="N133" s="61"/>
      <c r="O133" s="62"/>
      <c r="P133" s="62"/>
      <c r="Q133" s="62"/>
    </row>
    <row r="134" spans="1:33" ht="19.5" x14ac:dyDescent="0.35">
      <c r="B134" s="60"/>
      <c r="C134" s="60"/>
      <c r="D134" s="60"/>
      <c r="E134" s="60"/>
      <c r="F134" s="60"/>
      <c r="G134" s="60"/>
      <c r="H134" s="60"/>
      <c r="I134" s="60"/>
      <c r="J134" s="60"/>
      <c r="K134" s="60"/>
      <c r="L134" s="60"/>
      <c r="M134" s="245" t="s">
        <v>9</v>
      </c>
      <c r="N134" s="62"/>
      <c r="O134" s="62"/>
      <c r="P134" s="62"/>
      <c r="Q134" s="62"/>
    </row>
    <row r="135" spans="1:33" ht="9" customHeight="1" x14ac:dyDescent="0.25">
      <c r="B135" s="3"/>
      <c r="C135" s="3"/>
      <c r="D135" s="3"/>
      <c r="E135" s="3"/>
      <c r="F135" s="3"/>
      <c r="G135" s="3"/>
      <c r="H135" s="3"/>
      <c r="I135" s="3"/>
      <c r="J135" s="3"/>
      <c r="K135" s="3"/>
      <c r="L135" s="3"/>
      <c r="M135" s="3"/>
      <c r="N135" s="3"/>
      <c r="O135" s="5"/>
      <c r="P135" s="5"/>
      <c r="Q135" s="5"/>
    </row>
    <row r="136" spans="1:33" ht="15.75" x14ac:dyDescent="0.25">
      <c r="B136" s="16" t="s">
        <v>21</v>
      </c>
      <c r="C136" s="3"/>
      <c r="D136" s="3"/>
      <c r="E136" s="3"/>
      <c r="F136" s="3"/>
      <c r="G136" s="3"/>
      <c r="H136" s="3"/>
      <c r="I136" s="3"/>
      <c r="J136" s="3"/>
      <c r="K136" s="3"/>
      <c r="L136" s="3"/>
      <c r="M136" s="3"/>
      <c r="N136" s="3"/>
      <c r="O136" s="5"/>
      <c r="P136" s="5"/>
      <c r="Q136" s="5"/>
    </row>
    <row r="137" spans="1:33" ht="9" customHeight="1" x14ac:dyDescent="0.25">
      <c r="B137" s="5"/>
      <c r="C137" s="251"/>
      <c r="D137" s="251"/>
      <c r="E137" s="251"/>
      <c r="F137" s="3"/>
      <c r="G137" s="3"/>
      <c r="H137" s="3"/>
      <c r="I137" s="3"/>
      <c r="J137" s="3"/>
      <c r="K137" s="3"/>
      <c r="L137" s="3"/>
      <c r="M137" s="3"/>
      <c r="N137" s="3"/>
      <c r="O137" s="5"/>
      <c r="P137" s="5"/>
      <c r="Q137" s="5"/>
    </row>
    <row r="138" spans="1:33" ht="9.75" customHeight="1" thickBot="1" x14ac:dyDescent="0.3">
      <c r="B138" s="370" t="s">
        <v>22</v>
      </c>
      <c r="C138" s="369"/>
      <c r="D138" s="369"/>
      <c r="E138" s="369"/>
      <c r="F138" s="369"/>
      <c r="G138" s="369"/>
      <c r="H138" s="369"/>
      <c r="I138" s="36"/>
      <c r="J138" s="3"/>
      <c r="K138" s="3"/>
      <c r="L138" s="64"/>
      <c r="M138" s="3"/>
      <c r="N138" s="64"/>
      <c r="O138" s="5"/>
      <c r="P138" s="5"/>
      <c r="Q138" s="5"/>
    </row>
    <row r="139" spans="1:33" ht="28.5" customHeight="1" thickBot="1" x14ac:dyDescent="0.3">
      <c r="B139" s="369"/>
      <c r="C139" s="369"/>
      <c r="D139" s="369"/>
      <c r="E139" s="369"/>
      <c r="F139" s="369"/>
      <c r="G139" s="369"/>
      <c r="H139" s="369"/>
      <c r="I139" s="5"/>
      <c r="J139" s="377"/>
      <c r="K139" s="378"/>
      <c r="L139" s="252" t="s">
        <v>23</v>
      </c>
      <c r="M139" s="365" t="s">
        <v>24</v>
      </c>
      <c r="N139" s="366"/>
      <c r="O139" s="5"/>
      <c r="P139" s="5"/>
      <c r="Q139" s="5"/>
    </row>
    <row r="140" spans="1:33" ht="9.75" customHeight="1" x14ac:dyDescent="0.25">
      <c r="B140" s="253"/>
      <c r="C140" s="253"/>
      <c r="D140" s="253"/>
      <c r="E140" s="253"/>
      <c r="F140" s="253"/>
      <c r="G140" s="3"/>
      <c r="H140" s="5"/>
      <c r="I140" s="5"/>
      <c r="J140" s="5"/>
      <c r="K140" s="11"/>
      <c r="L140" s="19"/>
      <c r="M140" s="19"/>
      <c r="N140" s="64"/>
      <c r="O140" s="5"/>
      <c r="P140" s="5"/>
      <c r="Q140" s="5"/>
    </row>
    <row r="141" spans="1:33" ht="9.75" customHeight="1" thickBot="1" x14ac:dyDescent="0.3">
      <c r="B141" s="19"/>
      <c r="C141" s="19"/>
      <c r="D141" s="19"/>
      <c r="E141" s="32"/>
      <c r="F141" s="19"/>
      <c r="G141" s="3"/>
      <c r="H141" s="5"/>
      <c r="I141" s="5"/>
      <c r="J141" s="5"/>
      <c r="K141" s="11"/>
      <c r="L141" s="19"/>
      <c r="M141" s="19"/>
      <c r="N141" s="3"/>
      <c r="O141" s="5"/>
      <c r="P141" s="5"/>
      <c r="Q141" s="5"/>
    </row>
    <row r="142" spans="1:33" ht="30" customHeight="1" thickBot="1" x14ac:dyDescent="0.3">
      <c r="B142" s="47" t="s">
        <v>25</v>
      </c>
      <c r="C142" s="47"/>
      <c r="D142" s="47"/>
      <c r="E142" s="47"/>
      <c r="F142" s="19"/>
      <c r="G142" s="3"/>
      <c r="H142" s="5"/>
      <c r="I142" s="5"/>
      <c r="J142" s="367">
        <f>J139*200</f>
        <v>0</v>
      </c>
      <c r="K142" s="368"/>
      <c r="L142" s="252" t="s">
        <v>26</v>
      </c>
      <c r="M142" s="365" t="s">
        <v>27</v>
      </c>
      <c r="N142" s="369"/>
      <c r="O142" s="5"/>
      <c r="P142" s="5"/>
      <c r="Q142" s="5"/>
    </row>
    <row r="143" spans="1:33" ht="9.75" customHeight="1" thickBot="1" x14ac:dyDescent="0.3">
      <c r="B143" s="56"/>
      <c r="C143" s="56"/>
      <c r="D143" s="56"/>
      <c r="E143" s="65"/>
      <c r="F143" s="56"/>
      <c r="G143" s="56"/>
      <c r="H143" s="51"/>
      <c r="I143" s="51"/>
      <c r="J143" s="51"/>
      <c r="K143" s="58"/>
      <c r="L143" s="52"/>
      <c r="M143" s="66"/>
      <c r="N143" s="56"/>
      <c r="O143" s="51"/>
      <c r="P143" s="51"/>
      <c r="Q143" s="18"/>
    </row>
    <row r="144" spans="1:33" ht="9" customHeight="1" x14ac:dyDescent="0.25">
      <c r="B144" s="3"/>
      <c r="C144" s="3"/>
      <c r="D144" s="3"/>
      <c r="E144" s="3"/>
      <c r="F144" s="3"/>
      <c r="G144" s="3"/>
      <c r="H144" s="5"/>
      <c r="I144" s="5"/>
      <c r="J144" s="5"/>
      <c r="K144" s="11"/>
      <c r="L144" s="19"/>
      <c r="M144" s="32"/>
      <c r="N144" s="3"/>
      <c r="O144" s="5"/>
      <c r="P144" s="5"/>
      <c r="Q144" s="5"/>
    </row>
    <row r="145" spans="2:17" ht="18" x14ac:dyDescent="0.25">
      <c r="B145" s="16" t="s">
        <v>28</v>
      </c>
      <c r="C145" s="3"/>
      <c r="D145" s="3"/>
      <c r="E145" s="3"/>
      <c r="F145" s="3"/>
      <c r="G145" s="3"/>
      <c r="H145" s="5"/>
      <c r="I145" s="5"/>
      <c r="J145" s="5"/>
      <c r="K145" s="11"/>
      <c r="L145" s="19"/>
      <c r="M145" s="19"/>
      <c r="N145" s="3"/>
      <c r="O145" s="5"/>
      <c r="P145" s="5"/>
      <c r="Q145" s="5"/>
    </row>
    <row r="146" spans="2:17" ht="7.5" customHeight="1" x14ac:dyDescent="0.25">
      <c r="B146" s="19"/>
      <c r="C146" s="3"/>
      <c r="D146" s="3"/>
      <c r="E146" s="3"/>
      <c r="F146" s="3"/>
      <c r="G146" s="3"/>
      <c r="H146" s="5"/>
      <c r="I146" s="5"/>
      <c r="J146" s="5"/>
      <c r="K146" s="11"/>
      <c r="L146" s="19"/>
      <c r="M146" s="19"/>
      <c r="N146" s="3"/>
      <c r="O146" s="5"/>
      <c r="P146" s="5"/>
      <c r="Q146" s="5"/>
    </row>
    <row r="147" spans="2:17" ht="9.75" customHeight="1" thickBot="1" x14ac:dyDescent="0.3">
      <c r="B147" s="370" t="s">
        <v>29</v>
      </c>
      <c r="C147" s="369"/>
      <c r="D147" s="369"/>
      <c r="E147" s="369"/>
      <c r="F147" s="369"/>
      <c r="G147" s="369"/>
      <c r="H147" s="369"/>
      <c r="I147" s="5"/>
      <c r="J147" s="5"/>
      <c r="K147" s="254"/>
      <c r="L147" s="32"/>
      <c r="M147" s="19"/>
      <c r="N147" s="3"/>
      <c r="O147" s="5"/>
      <c r="P147" s="5"/>
      <c r="Q147" s="5"/>
    </row>
    <row r="148" spans="2:17" ht="30" customHeight="1" thickBot="1" x14ac:dyDescent="0.3">
      <c r="B148" s="369"/>
      <c r="C148" s="369"/>
      <c r="D148" s="369"/>
      <c r="E148" s="369"/>
      <c r="F148" s="369"/>
      <c r="G148" s="369"/>
      <c r="H148" s="369"/>
      <c r="I148" s="5"/>
      <c r="J148" s="377"/>
      <c r="K148" s="378"/>
      <c r="L148" s="252" t="s">
        <v>23</v>
      </c>
      <c r="M148" s="365" t="s">
        <v>30</v>
      </c>
      <c r="N148" s="369"/>
      <c r="O148" s="5"/>
      <c r="P148" s="5"/>
      <c r="Q148" s="5"/>
    </row>
    <row r="149" spans="2:17" ht="7.5" customHeight="1" x14ac:dyDescent="0.25">
      <c r="B149" s="253"/>
      <c r="C149" s="253"/>
      <c r="D149" s="253"/>
      <c r="E149" s="253"/>
      <c r="F149" s="253"/>
      <c r="G149" s="3"/>
      <c r="H149" s="5"/>
      <c r="I149" s="5"/>
      <c r="J149" s="5"/>
      <c r="K149" s="11"/>
      <c r="L149" s="19"/>
      <c r="M149" s="19"/>
      <c r="N149" s="3"/>
      <c r="O149" s="5"/>
      <c r="P149" s="5"/>
      <c r="Q149" s="5"/>
    </row>
    <row r="150" spans="2:17" ht="7.5" customHeight="1" thickBot="1" x14ac:dyDescent="0.3">
      <c r="B150" s="19"/>
      <c r="C150" s="19"/>
      <c r="D150" s="19"/>
      <c r="E150" s="32"/>
      <c r="F150" s="19"/>
      <c r="G150" s="3"/>
      <c r="H150" s="5"/>
      <c r="I150" s="5"/>
      <c r="J150" s="5"/>
      <c r="K150" s="11"/>
      <c r="L150" s="19"/>
      <c r="M150" s="19"/>
      <c r="N150" s="3"/>
      <c r="O150" s="5"/>
      <c r="P150" s="5"/>
      <c r="Q150" s="5"/>
    </row>
    <row r="151" spans="2:17" ht="30" customHeight="1" thickBot="1" x14ac:dyDescent="0.3">
      <c r="B151" s="19" t="s">
        <v>31</v>
      </c>
      <c r="C151" s="19"/>
      <c r="D151" s="19"/>
      <c r="E151" s="19"/>
      <c r="F151" s="19"/>
      <c r="G151" s="3"/>
      <c r="H151" s="5"/>
      <c r="I151" s="5"/>
      <c r="J151" s="367">
        <f>J148*100</f>
        <v>0</v>
      </c>
      <c r="K151" s="368"/>
      <c r="L151" s="252" t="s">
        <v>26</v>
      </c>
      <c r="M151" s="365" t="s">
        <v>32</v>
      </c>
      <c r="N151" s="369"/>
      <c r="O151" s="5"/>
      <c r="P151" s="5"/>
      <c r="Q151" s="5"/>
    </row>
    <row r="152" spans="2:17" ht="12" customHeight="1" thickBot="1" x14ac:dyDescent="0.3">
      <c r="B152" s="56"/>
      <c r="C152" s="56"/>
      <c r="D152" s="56"/>
      <c r="E152" s="65"/>
      <c r="F152" s="56"/>
      <c r="G152" s="56"/>
      <c r="H152" s="51"/>
      <c r="I152" s="51"/>
      <c r="J152" s="51"/>
      <c r="K152" s="58"/>
      <c r="L152" s="52"/>
      <c r="M152" s="66"/>
      <c r="N152" s="56"/>
      <c r="O152" s="51"/>
      <c r="P152" s="51"/>
      <c r="Q152" s="18"/>
    </row>
    <row r="153" spans="2:17" ht="7.5" customHeight="1" x14ac:dyDescent="0.25">
      <c r="B153" s="3"/>
      <c r="C153" s="3"/>
      <c r="D153" s="3"/>
      <c r="E153" s="3"/>
      <c r="F153" s="3"/>
      <c r="G153" s="3"/>
      <c r="H153" s="5"/>
      <c r="I153" s="5"/>
      <c r="J153" s="5"/>
      <c r="K153" s="11"/>
      <c r="L153" s="19"/>
      <c r="M153" s="19"/>
      <c r="N153" s="3"/>
      <c r="O153" s="5"/>
      <c r="P153" s="5"/>
      <c r="Q153" s="5"/>
    </row>
    <row r="154" spans="2:17" ht="18" x14ac:dyDescent="0.25">
      <c r="B154" s="16" t="s">
        <v>33</v>
      </c>
      <c r="C154" s="3"/>
      <c r="D154" s="3"/>
      <c r="E154" s="3"/>
      <c r="F154" s="3"/>
      <c r="G154" s="3"/>
      <c r="H154" s="5"/>
      <c r="I154" s="5"/>
      <c r="J154" s="5"/>
      <c r="K154" s="11"/>
      <c r="L154" s="19"/>
      <c r="M154" s="19"/>
      <c r="N154" s="3"/>
      <c r="O154" s="5"/>
      <c r="P154" s="5"/>
      <c r="Q154" s="5"/>
    </row>
    <row r="155" spans="2:17" ht="8.25" customHeight="1" x14ac:dyDescent="0.25">
      <c r="B155" s="3"/>
      <c r="C155" s="3"/>
      <c r="D155" s="3"/>
      <c r="E155" s="3"/>
      <c r="F155" s="3"/>
      <c r="G155" s="3"/>
      <c r="H155" s="5"/>
      <c r="I155" s="5"/>
      <c r="J155" s="5"/>
      <c r="K155" s="11"/>
      <c r="L155" s="19"/>
      <c r="M155" s="19"/>
      <c r="N155" s="3"/>
      <c r="O155" s="5"/>
      <c r="P155" s="5"/>
      <c r="Q155" s="5"/>
    </row>
    <row r="156" spans="2:17" ht="8.25" customHeight="1" thickBot="1" x14ac:dyDescent="0.3">
      <c r="B156" s="370" t="s">
        <v>34</v>
      </c>
      <c r="C156" s="370"/>
      <c r="D156" s="370"/>
      <c r="E156" s="369"/>
      <c r="F156" s="369"/>
      <c r="G156" s="369"/>
      <c r="H156" s="369"/>
      <c r="I156" s="5"/>
      <c r="J156" s="5"/>
      <c r="K156" s="11"/>
      <c r="L156" s="19"/>
      <c r="M156" s="19"/>
      <c r="N156" s="3"/>
      <c r="O156" s="5"/>
      <c r="P156" s="5"/>
      <c r="Q156" s="5"/>
    </row>
    <row r="157" spans="2:17" ht="30" customHeight="1" thickBot="1" x14ac:dyDescent="0.3">
      <c r="B157" s="370"/>
      <c r="C157" s="370"/>
      <c r="D157" s="370"/>
      <c r="E157" s="369"/>
      <c r="F157" s="369"/>
      <c r="G157" s="369"/>
      <c r="H157" s="369"/>
      <c r="I157" s="5"/>
      <c r="J157" s="377"/>
      <c r="K157" s="378"/>
      <c r="L157" s="252" t="s">
        <v>26</v>
      </c>
      <c r="M157" s="365" t="s">
        <v>35</v>
      </c>
      <c r="N157" s="369"/>
      <c r="O157" s="5"/>
      <c r="P157" s="5"/>
      <c r="Q157" s="5"/>
    </row>
    <row r="158" spans="2:17" ht="9.75" customHeight="1" x14ac:dyDescent="0.25">
      <c r="B158" s="253"/>
      <c r="C158" s="253"/>
      <c r="D158" s="253"/>
      <c r="E158" s="253"/>
      <c r="F158" s="253"/>
      <c r="G158" s="3"/>
      <c r="H158" s="5"/>
      <c r="I158" s="5"/>
      <c r="J158" s="5"/>
      <c r="K158" s="11"/>
      <c r="L158" s="19"/>
      <c r="M158" s="19"/>
      <c r="N158" s="3"/>
      <c r="O158" s="5"/>
      <c r="P158" s="5"/>
      <c r="Q158" s="5"/>
    </row>
    <row r="159" spans="2:17" ht="9.75" customHeight="1" thickBot="1" x14ac:dyDescent="0.3">
      <c r="B159" s="19"/>
      <c r="C159" s="19"/>
      <c r="D159" s="19"/>
      <c r="E159" s="19"/>
      <c r="F159" s="19"/>
      <c r="G159" s="39"/>
      <c r="H159" s="5"/>
      <c r="I159" s="5"/>
      <c r="J159" s="5"/>
      <c r="K159" s="11"/>
      <c r="L159" s="19"/>
      <c r="M159" s="19"/>
      <c r="N159" s="3"/>
      <c r="O159" s="5"/>
      <c r="P159" s="5"/>
      <c r="Q159" s="5"/>
    </row>
    <row r="160" spans="2:17" ht="30" customHeight="1" thickBot="1" x14ac:dyDescent="0.3">
      <c r="B160" s="19" t="s">
        <v>36</v>
      </c>
      <c r="C160" s="19"/>
      <c r="D160" s="19"/>
      <c r="E160" s="19"/>
      <c r="F160" s="19"/>
      <c r="G160" s="3"/>
      <c r="H160" s="5"/>
      <c r="I160" s="5"/>
      <c r="J160" s="367">
        <f>J157*0.5</f>
        <v>0</v>
      </c>
      <c r="K160" s="368"/>
      <c r="L160" s="252" t="s">
        <v>26</v>
      </c>
      <c r="M160" s="365" t="s">
        <v>37</v>
      </c>
      <c r="N160" s="369"/>
      <c r="O160" s="5"/>
      <c r="P160" s="5"/>
      <c r="Q160" s="5"/>
    </row>
    <row r="161" spans="2:17" ht="8.25" customHeight="1" thickBot="1" x14ac:dyDescent="0.3">
      <c r="B161" s="56"/>
      <c r="C161" s="56"/>
      <c r="D161" s="56"/>
      <c r="E161" s="56"/>
      <c r="F161" s="56"/>
      <c r="G161" s="56"/>
      <c r="H161" s="51"/>
      <c r="I161" s="51"/>
      <c r="J161" s="51"/>
      <c r="K161" s="58"/>
      <c r="L161" s="52"/>
      <c r="M161" s="52"/>
      <c r="N161" s="56"/>
      <c r="O161" s="51"/>
      <c r="P161" s="51"/>
      <c r="Q161" s="18"/>
    </row>
    <row r="162" spans="2:17" ht="9" customHeight="1" x14ac:dyDescent="0.25">
      <c r="B162" s="3"/>
      <c r="C162" s="3"/>
      <c r="D162" s="3"/>
      <c r="E162" s="3"/>
      <c r="F162" s="3"/>
      <c r="G162" s="3"/>
      <c r="H162" s="5"/>
      <c r="I162" s="5"/>
      <c r="J162" s="5"/>
      <c r="K162" s="11"/>
      <c r="L162" s="19"/>
      <c r="M162" s="19"/>
      <c r="N162" s="3"/>
      <c r="O162" s="5"/>
      <c r="P162" s="5"/>
      <c r="Q162" s="18"/>
    </row>
    <row r="163" spans="2:17" ht="18" x14ac:dyDescent="0.25">
      <c r="B163" s="16" t="s">
        <v>188</v>
      </c>
      <c r="C163" s="3"/>
      <c r="D163" s="3"/>
      <c r="E163" s="3"/>
      <c r="F163" s="3"/>
      <c r="G163" s="3"/>
      <c r="H163" s="5"/>
      <c r="I163" s="5"/>
      <c r="J163" s="5"/>
      <c r="K163" s="11"/>
      <c r="L163" s="19"/>
      <c r="M163" s="19"/>
      <c r="N163" s="3"/>
      <c r="O163" s="5"/>
      <c r="P163" s="5"/>
      <c r="Q163" s="5"/>
    </row>
    <row r="164" spans="2:17" ht="6.75" customHeight="1" thickBot="1" x14ac:dyDescent="0.3">
      <c r="B164" s="3"/>
      <c r="C164" s="3"/>
      <c r="D164" s="3"/>
      <c r="E164" s="3"/>
      <c r="F164" s="3"/>
      <c r="G164" s="3"/>
      <c r="H164" s="5"/>
      <c r="I164" s="5"/>
      <c r="J164" s="5"/>
      <c r="K164" s="11"/>
      <c r="L164" s="19"/>
      <c r="M164" s="19"/>
      <c r="N164" s="3"/>
      <c r="O164" s="5"/>
      <c r="P164" s="5"/>
      <c r="Q164" s="5"/>
    </row>
    <row r="165" spans="2:17" ht="30" customHeight="1" thickBot="1" x14ac:dyDescent="0.3">
      <c r="B165" s="19" t="s">
        <v>38</v>
      </c>
      <c r="C165" s="19"/>
      <c r="D165" s="19"/>
      <c r="E165" s="19"/>
      <c r="F165" s="19"/>
      <c r="G165" s="3"/>
      <c r="H165" s="5"/>
      <c r="I165" s="5"/>
      <c r="J165" s="367">
        <f>J142+J151+J160</f>
        <v>0</v>
      </c>
      <c r="K165" s="382"/>
      <c r="L165" s="252" t="s">
        <v>26</v>
      </c>
      <c r="M165" s="365" t="s">
        <v>39</v>
      </c>
      <c r="N165" s="369"/>
      <c r="O165" s="5"/>
      <c r="P165" s="5"/>
      <c r="Q165" s="5"/>
    </row>
    <row r="166" spans="2:17" ht="9.75" customHeight="1" thickBot="1" x14ac:dyDescent="0.3">
      <c r="B166" s="19"/>
      <c r="C166" s="19"/>
      <c r="D166" s="19"/>
      <c r="E166" s="19"/>
      <c r="F166" s="19"/>
      <c r="G166" s="3"/>
      <c r="H166" s="5"/>
      <c r="I166" s="5"/>
      <c r="J166" s="5"/>
      <c r="K166" s="11"/>
      <c r="L166" s="32"/>
      <c r="M166" s="32"/>
      <c r="N166" s="3"/>
      <c r="O166" s="5"/>
      <c r="P166" s="5"/>
      <c r="Q166" s="5"/>
    </row>
    <row r="167" spans="2:17" ht="30" customHeight="1" thickBot="1" x14ac:dyDescent="0.3">
      <c r="B167" s="19" t="s">
        <v>274</v>
      </c>
      <c r="C167" s="19"/>
      <c r="D167" s="19"/>
      <c r="E167" s="19"/>
      <c r="F167" s="19"/>
      <c r="G167" s="3"/>
      <c r="H167" s="5"/>
      <c r="I167" s="5"/>
      <c r="J167" s="383">
        <f>0.2*J165/43560</f>
        <v>0</v>
      </c>
      <c r="K167" s="384"/>
      <c r="L167" s="32" t="s">
        <v>3</v>
      </c>
      <c r="M167" s="365" t="s">
        <v>40</v>
      </c>
      <c r="N167" s="369"/>
      <c r="O167" s="5"/>
      <c r="P167" s="5"/>
      <c r="Q167" s="5"/>
    </row>
    <row r="168" spans="2:17" ht="20.25" customHeight="1" x14ac:dyDescent="0.25">
      <c r="B168" s="19" t="s">
        <v>189</v>
      </c>
      <c r="C168" s="19"/>
      <c r="D168" s="19"/>
      <c r="E168" s="19"/>
      <c r="F168" s="19"/>
      <c r="G168" s="3"/>
      <c r="H168" s="3"/>
      <c r="I168" s="3"/>
      <c r="J168" s="3"/>
      <c r="K168" s="3"/>
      <c r="L168" s="3"/>
      <c r="M168" s="3"/>
      <c r="N168" s="3"/>
      <c r="O168" s="5"/>
      <c r="P168" s="5"/>
      <c r="Q168" s="5"/>
    </row>
    <row r="169" spans="2:17" ht="12" customHeight="1" x14ac:dyDescent="0.25">
      <c r="B169" s="2"/>
      <c r="C169" s="2"/>
      <c r="D169" s="2"/>
      <c r="E169" s="2"/>
      <c r="F169" s="2"/>
      <c r="G169" s="2"/>
      <c r="H169" s="2"/>
      <c r="I169" s="2"/>
      <c r="J169" s="2"/>
      <c r="K169" s="2"/>
      <c r="L169" s="2"/>
      <c r="M169" s="2"/>
      <c r="N169" s="2"/>
    </row>
    <row r="170" spans="2:17" ht="27.75" customHeight="1" x14ac:dyDescent="0.25">
      <c r="B170" s="255" t="s">
        <v>190</v>
      </c>
      <c r="C170" s="256"/>
      <c r="D170" s="62"/>
      <c r="E170" s="62"/>
      <c r="F170" s="257"/>
      <c r="G170" s="62"/>
      <c r="H170" s="62"/>
      <c r="I170" s="62"/>
      <c r="J170" s="62"/>
      <c r="K170" s="62"/>
      <c r="L170" s="62"/>
      <c r="M170" s="62"/>
      <c r="N170" s="62"/>
      <c r="O170" s="62"/>
      <c r="P170" s="62"/>
      <c r="Q170" s="62"/>
    </row>
    <row r="171" spans="2:17" ht="19.5" customHeight="1" x14ac:dyDescent="0.25">
      <c r="B171" s="63" t="s">
        <v>191</v>
      </c>
      <c r="C171" s="256"/>
      <c r="D171" s="62"/>
      <c r="E171" s="62"/>
      <c r="F171" s="62"/>
      <c r="G171" s="62"/>
      <c r="H171" s="62"/>
      <c r="I171" s="62"/>
      <c r="J171" s="62"/>
      <c r="K171" s="62"/>
      <c r="L171" s="62"/>
      <c r="M171" s="62"/>
      <c r="N171" s="62"/>
      <c r="O171" s="62"/>
      <c r="P171" s="62"/>
      <c r="Q171" s="62"/>
    </row>
    <row r="172" spans="2:17" ht="9" customHeight="1" x14ac:dyDescent="0.25">
      <c r="B172" s="3"/>
      <c r="C172" s="258"/>
      <c r="D172" s="5"/>
      <c r="E172" s="5"/>
      <c r="F172" s="5"/>
      <c r="G172" s="5"/>
      <c r="H172" s="5"/>
      <c r="I172" s="5"/>
      <c r="J172" s="5"/>
      <c r="K172" s="5"/>
      <c r="L172" s="5"/>
      <c r="M172" s="5"/>
      <c r="N172" s="5"/>
      <c r="O172" s="5"/>
      <c r="P172" s="5"/>
      <c r="Q172" s="5"/>
    </row>
    <row r="173" spans="2:17" ht="15.75" x14ac:dyDescent="0.25">
      <c r="B173" s="17" t="s">
        <v>192</v>
      </c>
      <c r="C173" s="17"/>
      <c r="D173" s="5"/>
      <c r="E173" s="17"/>
      <c r="F173" s="17"/>
      <c r="G173" s="74"/>
      <c r="H173" s="5"/>
      <c r="I173" s="5"/>
      <c r="J173" s="5"/>
      <c r="K173" s="5"/>
      <c r="L173" s="5"/>
      <c r="M173" s="5"/>
      <c r="N173" s="5"/>
      <c r="O173" s="5"/>
      <c r="P173" s="5"/>
      <c r="Q173" s="5"/>
    </row>
    <row r="174" spans="2:17" ht="15.75" x14ac:dyDescent="0.25">
      <c r="B174" s="17"/>
      <c r="C174" s="34" t="s">
        <v>193</v>
      </c>
      <c r="D174" s="5"/>
      <c r="E174" s="20" t="s">
        <v>194</v>
      </c>
      <c r="F174" s="17"/>
      <c r="G174" s="5"/>
      <c r="H174" s="18"/>
      <c r="I174" s="18"/>
      <c r="J174" s="5"/>
      <c r="K174" s="5"/>
      <c r="L174" s="5"/>
      <c r="M174" s="5"/>
      <c r="N174" s="5"/>
      <c r="O174" s="5"/>
      <c r="P174" s="5"/>
      <c r="Q174" s="5"/>
    </row>
    <row r="175" spans="2:17" ht="15.75" x14ac:dyDescent="0.25">
      <c r="B175" s="17"/>
      <c r="C175" s="259" t="s">
        <v>195</v>
      </c>
      <c r="D175" s="260"/>
      <c r="E175" s="261">
        <v>0.4</v>
      </c>
      <c r="F175" s="17"/>
      <c r="G175" s="5"/>
      <c r="H175" s="18"/>
      <c r="I175" s="18"/>
      <c r="J175" s="5"/>
      <c r="K175" s="5"/>
      <c r="L175" s="5"/>
      <c r="M175" s="5"/>
      <c r="N175" s="5"/>
      <c r="O175" s="5"/>
      <c r="P175" s="5"/>
      <c r="Q175" s="5"/>
    </row>
    <row r="176" spans="2:17" ht="15.75" x14ac:dyDescent="0.25">
      <c r="B176" s="17"/>
      <c r="C176" s="259" t="s">
        <v>196</v>
      </c>
      <c r="D176" s="262"/>
      <c r="E176" s="261">
        <v>0.6</v>
      </c>
      <c r="F176" s="17"/>
      <c r="G176" s="5"/>
      <c r="H176" s="18"/>
      <c r="I176" s="18"/>
      <c r="J176" s="5"/>
      <c r="K176" s="5"/>
      <c r="L176" s="5"/>
      <c r="M176" s="5"/>
      <c r="N176" s="5"/>
      <c r="O176" s="5"/>
      <c r="P176" s="5"/>
      <c r="Q176" s="5"/>
    </row>
    <row r="177" spans="1:17" ht="45.75" customHeight="1" x14ac:dyDescent="0.25">
      <c r="B177" s="17"/>
      <c r="C177" s="375" t="s">
        <v>197</v>
      </c>
      <c r="D177" s="376"/>
      <c r="E177" s="263">
        <v>0.75</v>
      </c>
      <c r="F177" s="17"/>
      <c r="G177" s="5"/>
      <c r="H177" s="18"/>
      <c r="I177" s="18"/>
      <c r="J177" s="5"/>
      <c r="K177" s="5"/>
      <c r="L177" s="5"/>
      <c r="M177" s="5"/>
      <c r="N177" s="5"/>
      <c r="O177" s="5"/>
      <c r="P177" s="5"/>
      <c r="Q177" s="5"/>
    </row>
    <row r="178" spans="1:17" ht="16.5" thickBot="1" x14ac:dyDescent="0.3">
      <c r="B178" s="17"/>
      <c r="C178" s="264" t="s">
        <v>198</v>
      </c>
      <c r="D178" s="265"/>
      <c r="E178" s="261">
        <v>1</v>
      </c>
      <c r="F178" s="17"/>
      <c r="G178" s="5"/>
      <c r="H178" s="18"/>
      <c r="I178" s="18"/>
      <c r="J178" s="5"/>
      <c r="K178" s="5"/>
      <c r="L178" s="5"/>
      <c r="M178" s="5"/>
      <c r="N178" s="5"/>
      <c r="O178" s="5"/>
      <c r="P178" s="5"/>
      <c r="Q178" s="5"/>
    </row>
    <row r="179" spans="1:17" ht="30" customHeight="1" thickBot="1" x14ac:dyDescent="0.3">
      <c r="B179" s="17"/>
      <c r="C179" s="17"/>
      <c r="D179" s="17"/>
      <c r="E179" s="17"/>
      <c r="F179" s="266"/>
      <c r="G179" s="377"/>
      <c r="H179" s="378"/>
      <c r="I179" s="247"/>
      <c r="J179" s="17" t="s">
        <v>199</v>
      </c>
      <c r="K179" s="5"/>
      <c r="L179" s="237"/>
      <c r="M179" s="5"/>
      <c r="N179" s="5"/>
      <c r="O179" s="5"/>
      <c r="P179" s="5"/>
      <c r="Q179" s="5"/>
    </row>
    <row r="180" spans="1:17" ht="18.75" thickBot="1" x14ac:dyDescent="0.3">
      <c r="B180" s="17"/>
      <c r="C180" s="17"/>
      <c r="D180" s="17"/>
      <c r="E180" s="17"/>
      <c r="F180" s="17"/>
      <c r="G180" s="49"/>
      <c r="H180" s="49"/>
      <c r="I180" s="5"/>
      <c r="J180" s="17"/>
      <c r="K180" s="5"/>
      <c r="L180" s="5"/>
      <c r="M180" s="5"/>
      <c r="N180" s="5"/>
      <c r="O180" s="5"/>
      <c r="P180" s="5"/>
      <c r="Q180" s="5"/>
    </row>
    <row r="181" spans="1:17" ht="30" customHeight="1" thickBot="1" x14ac:dyDescent="0.3">
      <c r="B181" s="249" t="s">
        <v>200</v>
      </c>
      <c r="C181" s="17"/>
      <c r="D181" s="17"/>
      <c r="E181" s="17"/>
      <c r="F181" s="17"/>
      <c r="G181" s="379"/>
      <c r="H181" s="378"/>
      <c r="I181" s="247"/>
      <c r="J181" s="17" t="s">
        <v>201</v>
      </c>
      <c r="K181" s="5"/>
      <c r="L181" s="5"/>
      <c r="M181" s="5"/>
      <c r="N181" s="5"/>
      <c r="O181" s="5"/>
      <c r="P181" s="5"/>
      <c r="Q181" s="5"/>
    </row>
    <row r="182" spans="1:17" ht="18" x14ac:dyDescent="0.25">
      <c r="B182" s="17"/>
      <c r="C182" s="17"/>
      <c r="D182" s="17"/>
      <c r="E182" s="17"/>
      <c r="F182" s="17"/>
      <c r="G182" s="5"/>
      <c r="H182" s="49"/>
      <c r="I182" s="5"/>
      <c r="J182" s="17"/>
      <c r="K182" s="5"/>
      <c r="L182" s="5"/>
      <c r="M182" s="5"/>
      <c r="N182" s="5"/>
      <c r="O182" s="5"/>
      <c r="P182" s="5"/>
      <c r="Q182" s="5"/>
    </row>
    <row r="183" spans="1:17" ht="16.5" thickBot="1" x14ac:dyDescent="0.3">
      <c r="B183" s="17"/>
      <c r="C183" s="17"/>
      <c r="D183" s="17"/>
      <c r="E183" s="17"/>
      <c r="F183" s="17"/>
      <c r="G183" s="5"/>
      <c r="H183" s="5"/>
      <c r="I183" s="5"/>
      <c r="J183" s="17"/>
      <c r="K183" s="5"/>
      <c r="L183" s="5"/>
      <c r="M183" s="5"/>
      <c r="N183" s="5"/>
      <c r="O183" s="5"/>
      <c r="P183" s="5"/>
      <c r="Q183" s="5"/>
    </row>
    <row r="184" spans="1:17" ht="19.5" x14ac:dyDescent="0.35">
      <c r="B184" s="17" t="s">
        <v>202</v>
      </c>
      <c r="C184" s="17"/>
      <c r="D184" s="31"/>
      <c r="E184" s="17"/>
      <c r="F184" s="17"/>
      <c r="G184" s="5"/>
      <c r="H184" s="5"/>
      <c r="I184" s="5"/>
      <c r="J184" s="267"/>
      <c r="K184" s="5"/>
      <c r="L184" s="5"/>
      <c r="M184" s="250"/>
      <c r="N184" s="371">
        <f>G179*G181*0.04*Box_AT</f>
        <v>0</v>
      </c>
      <c r="O184" s="372"/>
      <c r="P184" s="268" t="s">
        <v>3</v>
      </c>
      <c r="Q184" s="249" t="s">
        <v>203</v>
      </c>
    </row>
    <row r="185" spans="1:17" ht="15.75" customHeight="1" thickBot="1" x14ac:dyDescent="0.3">
      <c r="B185" s="17" t="s">
        <v>204</v>
      </c>
      <c r="C185" s="17"/>
      <c r="D185" s="17"/>
      <c r="E185" s="17"/>
      <c r="F185" s="17"/>
      <c r="G185" s="5"/>
      <c r="H185" s="5"/>
      <c r="I185" s="5"/>
      <c r="J185" s="5"/>
      <c r="K185" s="5"/>
      <c r="L185" s="5"/>
      <c r="M185" s="5"/>
      <c r="N185" s="373"/>
      <c r="O185" s="374"/>
      <c r="P185" s="268"/>
      <c r="Q185" s="249"/>
    </row>
    <row r="186" spans="1:17" ht="15.75" customHeight="1" x14ac:dyDescent="0.25">
      <c r="B186" s="5"/>
      <c r="C186" s="5"/>
      <c r="D186" s="5"/>
      <c r="E186" s="5"/>
      <c r="F186" s="5"/>
      <c r="G186" s="5"/>
      <c r="H186" s="5"/>
      <c r="I186" s="5"/>
      <c r="J186" s="5"/>
      <c r="K186" s="5"/>
      <c r="L186" s="5"/>
      <c r="M186" s="5"/>
      <c r="N186" s="5"/>
      <c r="O186" s="5"/>
      <c r="P186" s="5"/>
      <c r="Q186" s="5"/>
    </row>
    <row r="187" spans="1:17" s="41" customFormat="1" ht="15.75" x14ac:dyDescent="0.25">
      <c r="A187" s="150"/>
      <c r="B187" s="150"/>
      <c r="C187" s="2"/>
      <c r="D187" s="2"/>
      <c r="E187" s="2"/>
      <c r="F187" s="2"/>
      <c r="G187" s="2"/>
      <c r="H187" s="2"/>
      <c r="I187" s="2"/>
      <c r="J187" s="2"/>
      <c r="K187" s="2"/>
      <c r="L187" s="2"/>
      <c r="M187" s="2"/>
    </row>
    <row r="188" spans="1:17" s="41" customFormat="1" ht="18" x14ac:dyDescent="0.25">
      <c r="A188" s="150"/>
      <c r="B188" s="334" t="s">
        <v>93</v>
      </c>
      <c r="C188" s="335"/>
      <c r="D188" s="335"/>
      <c r="E188" s="338"/>
      <c r="F188" s="335"/>
      <c r="G188" s="335"/>
      <c r="H188" s="335"/>
      <c r="I188" s="335"/>
      <c r="J188" s="335"/>
      <c r="K188" s="335"/>
      <c r="L188" s="340"/>
      <c r="M188" s="335"/>
      <c r="N188" s="341"/>
      <c r="O188" s="341"/>
      <c r="P188" s="341"/>
    </row>
    <row r="189" spans="1:17" s="41" customFormat="1" ht="18" x14ac:dyDescent="0.25">
      <c r="A189" s="150"/>
      <c r="B189" s="334" t="s">
        <v>113</v>
      </c>
      <c r="C189" s="335"/>
      <c r="D189" s="335"/>
      <c r="E189" s="335"/>
      <c r="F189" s="335"/>
      <c r="G189" s="335"/>
      <c r="H189" s="335"/>
      <c r="I189" s="335"/>
      <c r="J189" s="342"/>
      <c r="K189" s="342"/>
      <c r="L189" s="342"/>
      <c r="M189" s="342"/>
      <c r="N189" s="341"/>
      <c r="O189" s="341"/>
      <c r="P189" s="341"/>
    </row>
    <row r="190" spans="1:17" s="41" customFormat="1" ht="16.5" thickBot="1" x14ac:dyDescent="0.3">
      <c r="A190" s="150"/>
      <c r="B190" s="336" t="s">
        <v>108</v>
      </c>
      <c r="C190" s="335"/>
      <c r="D190" s="335"/>
      <c r="E190" s="335"/>
      <c r="F190" s="335"/>
      <c r="G190" s="335"/>
      <c r="H190" s="335"/>
      <c r="I190" s="335"/>
      <c r="J190" s="335"/>
      <c r="K190" s="335"/>
      <c r="L190" s="335"/>
      <c r="M190" s="335"/>
      <c r="N190" s="342"/>
      <c r="O190" s="341"/>
      <c r="P190" s="341"/>
    </row>
    <row r="191" spans="1:17" s="41" customFormat="1" ht="20.25" customHeight="1" thickBot="1" x14ac:dyDescent="0.3">
      <c r="A191" s="150"/>
      <c r="B191" s="335" t="s">
        <v>10</v>
      </c>
      <c r="C191" s="335"/>
      <c r="D191" s="335"/>
      <c r="E191" s="197"/>
      <c r="F191" s="335" t="s">
        <v>91</v>
      </c>
      <c r="G191" s="335"/>
      <c r="H191" s="335"/>
      <c r="I191" s="335"/>
      <c r="J191" s="335"/>
      <c r="K191" s="142">
        <f>E191/43560/7.48*12/Box_ARDperEF</f>
        <v>0</v>
      </c>
      <c r="L191" s="340"/>
      <c r="M191" s="335" t="s">
        <v>3</v>
      </c>
      <c r="N191" s="341"/>
      <c r="O191" s="341"/>
      <c r="P191" s="341"/>
    </row>
    <row r="192" spans="1:17" s="41" customFormat="1" ht="26.25" customHeight="1" thickBot="1" x14ac:dyDescent="0.3">
      <c r="A192" s="150"/>
      <c r="B192" s="336" t="s">
        <v>109</v>
      </c>
      <c r="C192" s="335"/>
      <c r="D192" s="335"/>
      <c r="E192" s="338"/>
      <c r="F192" s="335"/>
      <c r="G192" s="335"/>
      <c r="H192" s="335"/>
      <c r="I192" s="335"/>
      <c r="J192" s="335"/>
      <c r="K192" s="335"/>
      <c r="L192" s="335"/>
      <c r="M192" s="335"/>
      <c r="N192" s="335"/>
      <c r="O192" s="341"/>
      <c r="P192" s="341"/>
    </row>
    <row r="193" spans="1:20" s="41" customFormat="1" ht="18.75" thickBot="1" x14ac:dyDescent="0.3">
      <c r="A193" s="150"/>
      <c r="B193" s="335" t="s">
        <v>107</v>
      </c>
      <c r="C193" s="335"/>
      <c r="D193" s="335"/>
      <c r="E193" s="338"/>
      <c r="F193" s="335"/>
      <c r="G193" s="335"/>
      <c r="H193" s="335"/>
      <c r="I193" s="335"/>
      <c r="J193" s="335"/>
      <c r="K193" s="172">
        <v>0</v>
      </c>
      <c r="L193" s="340"/>
      <c r="M193" s="335" t="s">
        <v>3</v>
      </c>
      <c r="N193" s="341"/>
      <c r="O193" s="341"/>
      <c r="P193" s="341"/>
    </row>
    <row r="194" spans="1:20" ht="30" customHeight="1" x14ac:dyDescent="0.25">
      <c r="A194" s="2"/>
      <c r="B194" s="334" t="s">
        <v>92</v>
      </c>
      <c r="C194" s="335"/>
      <c r="D194" s="335"/>
      <c r="E194" s="335"/>
      <c r="F194" s="335"/>
      <c r="G194" s="335"/>
      <c r="H194" s="335"/>
      <c r="I194" s="335"/>
      <c r="J194" s="335"/>
      <c r="K194" s="335"/>
      <c r="L194" s="340"/>
      <c r="M194" s="335"/>
      <c r="N194" s="341"/>
      <c r="O194" s="341"/>
      <c r="P194" s="341"/>
      <c r="Q194" s="199"/>
      <c r="R194" s="148"/>
      <c r="S194" s="148"/>
      <c r="T194" s="148"/>
    </row>
    <row r="195" spans="1:20" ht="15.75" x14ac:dyDescent="0.25">
      <c r="A195" s="2"/>
      <c r="B195" s="336" t="s">
        <v>110</v>
      </c>
      <c r="C195" s="335"/>
      <c r="D195" s="335"/>
      <c r="E195" s="335"/>
      <c r="F195" s="343" t="s">
        <v>115</v>
      </c>
      <c r="G195" s="197"/>
      <c r="H195" s="335" t="s">
        <v>114</v>
      </c>
      <c r="I195" s="344"/>
      <c r="J195" s="344"/>
      <c r="K195" s="344"/>
      <c r="L195" s="344"/>
      <c r="M195" s="344"/>
      <c r="N195" s="341"/>
      <c r="O195" s="341"/>
      <c r="P195" s="341"/>
      <c r="Q195" s="200"/>
      <c r="R195" s="148"/>
      <c r="S195" s="148"/>
      <c r="T195" s="148"/>
    </row>
    <row r="196" spans="1:20" ht="16.5" thickBot="1" x14ac:dyDescent="0.3">
      <c r="A196" s="2"/>
      <c r="B196" s="335" t="s">
        <v>10</v>
      </c>
      <c r="C196" s="335"/>
      <c r="D196" s="335"/>
      <c r="E196" s="335"/>
      <c r="F196" s="343" t="s">
        <v>275</v>
      </c>
      <c r="G196" s="197"/>
      <c r="H196" s="335" t="s">
        <v>96</v>
      </c>
      <c r="I196" s="344"/>
      <c r="J196" s="344"/>
      <c r="K196" s="344"/>
      <c r="L196" s="344"/>
      <c r="M196" s="344"/>
      <c r="N196" s="341"/>
      <c r="O196" s="341"/>
      <c r="P196" s="341"/>
      <c r="Q196" s="200"/>
      <c r="R196" s="148"/>
      <c r="S196" s="148"/>
      <c r="T196" s="148"/>
    </row>
    <row r="197" spans="1:20" ht="18.75" thickBot="1" x14ac:dyDescent="0.3">
      <c r="A197" s="2"/>
      <c r="B197" s="335"/>
      <c r="C197" s="335"/>
      <c r="D197" s="335"/>
      <c r="E197" s="335"/>
      <c r="F197" s="343" t="s">
        <v>106</v>
      </c>
      <c r="G197" s="324"/>
      <c r="H197" s="335" t="s">
        <v>96</v>
      </c>
      <c r="I197" s="335"/>
      <c r="J197" s="338"/>
      <c r="K197" s="142">
        <f>IF(G196&lt;6,0.3*Box_bioret_area*PondingDepth/12/43560/(D270/12),0.8*Box_bioret_area*PondingDepth/12/43560/(D270/12))</f>
        <v>0</v>
      </c>
      <c r="L197" s="340"/>
      <c r="M197" s="335" t="s">
        <v>3</v>
      </c>
      <c r="N197" s="341"/>
      <c r="O197" s="341"/>
      <c r="P197" s="341"/>
      <c r="Q197" s="200"/>
      <c r="R197" s="148"/>
      <c r="S197" s="148"/>
      <c r="T197" s="148"/>
    </row>
    <row r="198" spans="1:20" ht="15.75" x14ac:dyDescent="0.25">
      <c r="A198" s="2"/>
      <c r="B198" s="335"/>
      <c r="C198" s="335"/>
      <c r="D198" s="335"/>
      <c r="E198" s="338"/>
      <c r="F198" s="335"/>
      <c r="G198" s="335"/>
      <c r="H198" s="335"/>
      <c r="I198" s="335"/>
      <c r="J198" s="338"/>
      <c r="K198" s="338"/>
      <c r="L198" s="340"/>
      <c r="M198" s="335"/>
      <c r="N198" s="341"/>
      <c r="O198" s="341"/>
      <c r="P198" s="341"/>
      <c r="Q198" s="201"/>
      <c r="R198" s="148"/>
      <c r="S198" s="148"/>
      <c r="T198" s="148"/>
    </row>
    <row r="199" spans="1:20" ht="26.25" customHeight="1" x14ac:dyDescent="0.25">
      <c r="A199" s="2"/>
      <c r="B199" s="336" t="s">
        <v>111</v>
      </c>
      <c r="C199" s="335"/>
      <c r="D199" s="335"/>
      <c r="E199" s="338"/>
      <c r="F199" s="335"/>
      <c r="G199" s="335"/>
      <c r="H199" s="335"/>
      <c r="I199" s="335"/>
      <c r="J199" s="335"/>
      <c r="K199" s="335"/>
      <c r="L199" s="335"/>
      <c r="M199" s="335"/>
      <c r="N199" s="341"/>
      <c r="O199" s="341"/>
      <c r="P199" s="341"/>
      <c r="Q199" s="202"/>
      <c r="S199" s="148"/>
      <c r="T199" s="148"/>
    </row>
    <row r="200" spans="1:20" ht="15.75" x14ac:dyDescent="0.25">
      <c r="A200" s="2"/>
      <c r="B200" s="337" t="s">
        <v>10</v>
      </c>
      <c r="C200" s="338" t="s">
        <v>17</v>
      </c>
      <c r="D200" s="338"/>
      <c r="E200" s="338"/>
      <c r="F200" s="343" t="s">
        <v>102</v>
      </c>
      <c r="G200" s="195"/>
      <c r="H200" s="335" t="s">
        <v>103</v>
      </c>
      <c r="I200" s="335"/>
      <c r="J200" s="335"/>
      <c r="K200" s="335"/>
      <c r="L200" s="335"/>
      <c r="M200" s="335"/>
      <c r="N200" s="335"/>
      <c r="O200" s="341"/>
      <c r="P200" s="341"/>
      <c r="Q200" s="202"/>
      <c r="R200" t="s">
        <v>259</v>
      </c>
      <c r="S200" s="148"/>
      <c r="T200" s="148"/>
    </row>
    <row r="201" spans="1:20" ht="15.75" x14ac:dyDescent="0.25">
      <c r="A201" s="2"/>
      <c r="B201" s="337"/>
      <c r="C201" s="338"/>
      <c r="D201" s="338"/>
      <c r="E201" s="338"/>
      <c r="F201" s="343" t="s">
        <v>252</v>
      </c>
      <c r="G201" s="196"/>
      <c r="H201" s="335" t="s">
        <v>253</v>
      </c>
      <c r="I201" s="335"/>
      <c r="J201" s="335"/>
      <c r="K201" s="335"/>
      <c r="L201" s="335"/>
      <c r="M201" s="335"/>
      <c r="N201" s="335"/>
      <c r="O201" s="341"/>
      <c r="P201" s="341"/>
      <c r="Q201" s="202"/>
      <c r="R201" t="s">
        <v>260</v>
      </c>
      <c r="S201" s="148"/>
      <c r="T201" s="148"/>
    </row>
    <row r="202" spans="1:20" ht="5.25" customHeight="1" thickBot="1" x14ac:dyDescent="0.3">
      <c r="A202" s="2"/>
      <c r="B202" s="337"/>
      <c r="C202" s="337"/>
      <c r="D202" s="337"/>
      <c r="E202" s="337"/>
      <c r="F202" s="337"/>
      <c r="G202" s="337"/>
      <c r="H202" s="337"/>
      <c r="I202" s="337"/>
      <c r="J202" s="337"/>
      <c r="K202" s="337"/>
      <c r="L202" s="337"/>
      <c r="M202" s="335"/>
      <c r="N202" s="335"/>
      <c r="O202" s="341"/>
      <c r="P202" s="341"/>
      <c r="Q202" s="202"/>
      <c r="S202" s="148"/>
      <c r="T202" s="148"/>
    </row>
    <row r="203" spans="1:20" ht="18.75" thickBot="1" x14ac:dyDescent="0.3">
      <c r="A203" s="2"/>
      <c r="B203" s="338"/>
      <c r="C203" s="338" t="s">
        <v>263</v>
      </c>
      <c r="D203" s="338"/>
      <c r="E203" s="338"/>
      <c r="F203" s="343" t="s">
        <v>101</v>
      </c>
      <c r="G203" s="196"/>
      <c r="H203" s="335" t="s">
        <v>104</v>
      </c>
      <c r="I203" s="335"/>
      <c r="J203" s="335"/>
      <c r="K203" s="142">
        <f>Box_capture_vol_inf/(Box_inf_design_rainfall_depth/12)</f>
        <v>0</v>
      </c>
      <c r="L203" s="340"/>
      <c r="M203" s="335" t="s">
        <v>3</v>
      </c>
      <c r="N203" s="335"/>
      <c r="O203" s="341"/>
      <c r="P203" s="341"/>
      <c r="Q203" s="202"/>
      <c r="S203" s="148"/>
      <c r="T203" s="148"/>
    </row>
    <row r="204" spans="1:20" ht="8.25" customHeight="1" thickBot="1" x14ac:dyDescent="0.3">
      <c r="A204" s="2"/>
      <c r="B204" s="338"/>
      <c r="C204" s="338"/>
      <c r="D204" s="338"/>
      <c r="E204" s="338"/>
      <c r="F204" s="338"/>
      <c r="G204" s="338"/>
      <c r="H204" s="338"/>
      <c r="I204" s="335"/>
      <c r="J204" s="335"/>
      <c r="K204" s="335"/>
      <c r="L204" s="340"/>
      <c r="M204" s="335"/>
      <c r="N204" s="335"/>
      <c r="O204" s="341"/>
      <c r="P204" s="341"/>
      <c r="Q204" s="202"/>
      <c r="S204" s="148"/>
      <c r="T204" s="148"/>
    </row>
    <row r="205" spans="1:20" ht="18.75" thickBot="1" x14ac:dyDescent="0.3">
      <c r="A205" s="2"/>
      <c r="B205" s="338"/>
      <c r="C205" s="338" t="s">
        <v>264</v>
      </c>
      <c r="D205" s="338"/>
      <c r="E205" s="338"/>
      <c r="F205" s="343" t="s">
        <v>255</v>
      </c>
      <c r="G205" s="195"/>
      <c r="H205" s="335" t="s">
        <v>254</v>
      </c>
      <c r="I205" s="335"/>
      <c r="J205" s="335"/>
      <c r="K205" s="142">
        <f>Box_soil_inf_rate*drawdown_hrs_inf*Box_soil_surface_area/(Box_inf_design_rainfall_depth*43560)</f>
        <v>0</v>
      </c>
      <c r="L205" s="340"/>
      <c r="M205" s="335" t="s">
        <v>3</v>
      </c>
      <c r="N205" s="335"/>
      <c r="O205" s="341"/>
      <c r="P205" s="341"/>
      <c r="Q205" s="202"/>
      <c r="S205" s="148"/>
      <c r="T205" s="148"/>
    </row>
    <row r="206" spans="1:20" ht="6" customHeight="1" thickBot="1" x14ac:dyDescent="0.3">
      <c r="A206" s="2"/>
      <c r="B206" s="338"/>
      <c r="C206" s="338"/>
      <c r="D206" s="338"/>
      <c r="E206" s="338"/>
      <c r="F206" s="338"/>
      <c r="G206" s="338"/>
      <c r="H206" s="338"/>
      <c r="I206" s="338"/>
      <c r="J206" s="338"/>
      <c r="K206" s="338"/>
      <c r="L206" s="338"/>
      <c r="M206" s="335"/>
      <c r="N206" s="335"/>
      <c r="O206" s="341"/>
      <c r="P206" s="341"/>
      <c r="Q206" s="202"/>
      <c r="S206" s="148"/>
      <c r="T206" s="148"/>
    </row>
    <row r="207" spans="1:20" s="179" customFormat="1" ht="21.75" customHeight="1" thickBot="1" x14ac:dyDescent="0.3">
      <c r="A207" s="177"/>
      <c r="B207" s="338"/>
      <c r="C207" s="338"/>
      <c r="D207" s="338" t="s">
        <v>258</v>
      </c>
      <c r="E207" s="195" t="s">
        <v>259</v>
      </c>
      <c r="F207" s="338"/>
      <c r="G207" s="338"/>
      <c r="H207" s="350" t="s">
        <v>262</v>
      </c>
      <c r="I207" s="142">
        <f>IF(E207=R200,Box_soil_inf_rate*drawdown_hrs_inf/12,Box_soil_inf_rate*drawdown_hrs_inf/12/0.35)</f>
        <v>0</v>
      </c>
      <c r="J207" s="335" t="s">
        <v>261</v>
      </c>
      <c r="K207" s="337"/>
      <c r="L207" s="337"/>
      <c r="M207" s="337"/>
      <c r="N207" s="345"/>
      <c r="O207" s="345"/>
      <c r="P207" s="345"/>
      <c r="Q207" s="203"/>
      <c r="R207" s="178"/>
      <c r="S207" s="178"/>
      <c r="T207" s="178"/>
    </row>
    <row r="208" spans="1:20" ht="39.75" customHeight="1" thickBot="1" x14ac:dyDescent="0.3">
      <c r="A208" s="2"/>
      <c r="B208" s="336" t="s">
        <v>112</v>
      </c>
      <c r="C208" s="335"/>
      <c r="D208" s="335"/>
      <c r="E208" s="335"/>
      <c r="F208" s="335"/>
      <c r="G208" s="335"/>
      <c r="H208" s="335"/>
      <c r="I208" s="335"/>
      <c r="J208" s="335"/>
      <c r="K208" s="335"/>
      <c r="L208" s="335"/>
      <c r="M208" s="335"/>
      <c r="N208" s="335"/>
      <c r="O208" s="335"/>
      <c r="P208" s="346"/>
      <c r="Q208" s="202"/>
      <c r="S208" s="148"/>
      <c r="T208" s="148"/>
    </row>
    <row r="209" spans="1:20" ht="18.75" thickBot="1" x14ac:dyDescent="0.3">
      <c r="A209" s="2"/>
      <c r="B209" s="335" t="s">
        <v>10</v>
      </c>
      <c r="C209" s="335"/>
      <c r="D209" s="335"/>
      <c r="E209" s="335"/>
      <c r="F209" s="343" t="s">
        <v>127</v>
      </c>
      <c r="G209" s="197"/>
      <c r="H209" s="335" t="s">
        <v>128</v>
      </c>
      <c r="I209" s="335"/>
      <c r="J209" s="335"/>
      <c r="K209" s="142">
        <f>Box_mulch_area*4/43560</f>
        <v>0</v>
      </c>
      <c r="L209" s="340"/>
      <c r="M209" s="335" t="s">
        <v>3</v>
      </c>
      <c r="N209" s="346"/>
      <c r="O209" s="346"/>
      <c r="P209" s="346"/>
      <c r="Q209" s="202"/>
      <c r="S209" s="148"/>
      <c r="T209" s="148"/>
    </row>
    <row r="210" spans="1:20" x14ac:dyDescent="0.25">
      <c r="A210" s="2"/>
      <c r="B210" s="335"/>
      <c r="C210" s="335"/>
      <c r="D210" s="335"/>
      <c r="E210" s="335"/>
      <c r="F210" s="335"/>
      <c r="G210" s="335"/>
      <c r="H210" s="335"/>
      <c r="I210" s="335"/>
      <c r="J210" s="335"/>
      <c r="K210" s="335"/>
      <c r="L210" s="347"/>
      <c r="M210" s="335"/>
      <c r="N210" s="346"/>
      <c r="O210" s="346"/>
      <c r="P210" s="346"/>
      <c r="Q210" s="202"/>
      <c r="R210" s="148"/>
      <c r="S210" s="148"/>
      <c r="T210" s="148"/>
    </row>
    <row r="211" spans="1:20" ht="18.75" customHeight="1" thickBot="1" x14ac:dyDescent="0.3">
      <c r="A211" s="2"/>
      <c r="B211" s="336"/>
      <c r="C211" s="339"/>
      <c r="D211" s="335"/>
      <c r="E211" s="351"/>
      <c r="F211" s="348"/>
      <c r="G211" s="339"/>
      <c r="H211" s="339"/>
      <c r="I211" s="352"/>
      <c r="J211" s="352"/>
      <c r="K211" s="353"/>
      <c r="L211" s="340"/>
      <c r="M211" s="348"/>
      <c r="N211" s="348"/>
      <c r="O211" s="341"/>
      <c r="P211" s="341"/>
      <c r="Q211" s="202"/>
      <c r="R211" s="148"/>
      <c r="S211" s="148"/>
      <c r="T211" s="148"/>
    </row>
    <row r="212" spans="1:20" ht="20.25" thickBot="1" x14ac:dyDescent="0.4">
      <c r="A212" s="2"/>
      <c r="B212" s="336" t="s">
        <v>125</v>
      </c>
      <c r="C212" s="339"/>
      <c r="D212" s="335"/>
      <c r="E212" s="351"/>
      <c r="F212" s="348"/>
      <c r="G212" s="339"/>
      <c r="H212" s="339"/>
      <c r="I212" s="352"/>
      <c r="J212" s="352"/>
      <c r="K212" s="142">
        <f>Box_ImpAreaToBioretention+Box_ImpAreaToInfOption2+Box_ImpAreaToMulch+Box_ImpAreaToInfiltration+Box_ImpAreaToCapture+Box_ImpAreaToAutoCapture</f>
        <v>0</v>
      </c>
      <c r="L212" s="340"/>
      <c r="M212" s="349" t="s">
        <v>81</v>
      </c>
      <c r="N212" s="348"/>
      <c r="O212" s="341"/>
      <c r="P212" s="341"/>
      <c r="Q212" s="202"/>
      <c r="R212" s="148"/>
      <c r="S212" s="148"/>
      <c r="T212" s="148"/>
    </row>
    <row r="213" spans="1:20" s="151" customFormat="1" ht="18.75" thickBot="1" x14ac:dyDescent="0.3">
      <c r="A213" s="2"/>
      <c r="B213" s="336"/>
      <c r="C213" s="339"/>
      <c r="D213" s="335"/>
      <c r="E213" s="351"/>
      <c r="F213" s="348"/>
      <c r="G213" s="339"/>
      <c r="H213" s="339"/>
      <c r="I213" s="352"/>
      <c r="J213" s="352"/>
      <c r="K213" s="353"/>
      <c r="L213" s="340"/>
      <c r="M213" s="348"/>
      <c r="N213" s="348"/>
      <c r="O213" s="341"/>
      <c r="P213" s="341"/>
      <c r="Q213" s="204"/>
      <c r="R213" s="153"/>
      <c r="S213" s="153"/>
      <c r="T213" s="153"/>
    </row>
    <row r="214" spans="1:20" s="363" customFormat="1" ht="28.5" customHeight="1" thickBot="1" x14ac:dyDescent="0.4">
      <c r="A214" s="354"/>
      <c r="B214" s="355" t="s">
        <v>276</v>
      </c>
      <c r="C214" s="356"/>
      <c r="D214" s="356"/>
      <c r="E214" s="357"/>
      <c r="F214" s="358"/>
      <c r="G214" s="358"/>
      <c r="H214" s="358"/>
      <c r="I214" s="358"/>
      <c r="J214" s="357" t="s">
        <v>277</v>
      </c>
      <c r="K214" s="130" t="e">
        <f>Box_ALIDC/Box_AT*200</f>
        <v>#DIV/0!</v>
      </c>
      <c r="L214" s="359"/>
      <c r="M214" s="359" t="s">
        <v>79</v>
      </c>
      <c r="N214" s="359"/>
      <c r="O214" s="360"/>
      <c r="P214" s="360"/>
      <c r="Q214" s="361"/>
      <c r="R214" s="362"/>
      <c r="S214" s="362"/>
      <c r="T214" s="362"/>
    </row>
    <row r="215" spans="1:20" s="41" customFormat="1" ht="12" customHeight="1" x14ac:dyDescent="0.25">
      <c r="A215" s="2"/>
      <c r="B215" s="154"/>
      <c r="E215" s="155"/>
      <c r="F215" s="2"/>
      <c r="G215" s="2"/>
      <c r="H215" s="2"/>
      <c r="I215" s="2"/>
      <c r="J215" s="155"/>
      <c r="K215" s="166"/>
      <c r="L215" s="40"/>
      <c r="M215" s="156"/>
      <c r="N215" s="40"/>
      <c r="Q215" s="205"/>
      <c r="R215" s="157"/>
      <c r="S215" s="157"/>
      <c r="T215" s="157"/>
    </row>
    <row r="216" spans="1:20" s="159" customFormat="1" ht="23.25" x14ac:dyDescent="0.35">
      <c r="A216" s="2"/>
      <c r="B216" s="331" t="s">
        <v>87</v>
      </c>
      <c r="E216" s="160"/>
      <c r="F216" s="158"/>
      <c r="G216" s="158"/>
      <c r="H216" s="158"/>
      <c r="I216" s="158"/>
      <c r="J216" s="160" t="e">
        <f>IF(TotalLIDCredit&lt;100,"Warning: More LID Is Required","LID compliant, check for treatment sizing in Step 4")</f>
        <v>#DIV/0!</v>
      </c>
      <c r="K216" s="161" t="e">
        <f>Box_RRCOS_pts+Box_RRC_pts+Box_RMC_pts</f>
        <v>#DIV/0!</v>
      </c>
      <c r="L216" s="163"/>
      <c r="M216" s="163"/>
      <c r="N216" s="162"/>
      <c r="Q216" s="206"/>
    </row>
    <row r="217" spans="1:20" ht="15.75" x14ac:dyDescent="0.25">
      <c r="A217" s="2"/>
      <c r="B217" s="458" t="s">
        <v>247</v>
      </c>
      <c r="C217" s="458"/>
      <c r="D217" s="458"/>
      <c r="E217" s="458"/>
      <c r="F217" s="458"/>
      <c r="G217" s="458"/>
      <c r="H217" s="458"/>
      <c r="I217" s="458"/>
      <c r="J217" s="458"/>
      <c r="K217" s="458"/>
      <c r="L217" s="458"/>
      <c r="M217" s="458"/>
      <c r="N217" s="458"/>
      <c r="O217" s="458"/>
      <c r="P217" s="458"/>
      <c r="Q217" s="202"/>
    </row>
    <row r="218" spans="1:20" ht="8.25" customHeight="1" x14ac:dyDescent="0.25">
      <c r="A218" s="2"/>
      <c r="B218" s="125"/>
      <c r="C218" s="128"/>
      <c r="D218" s="121"/>
      <c r="E218" s="139"/>
      <c r="F218" s="127"/>
      <c r="G218" s="128"/>
      <c r="H218" s="128"/>
      <c r="I218" s="140"/>
      <c r="J218" s="140"/>
      <c r="K218" s="141"/>
      <c r="L218" s="123"/>
      <c r="M218" s="127"/>
      <c r="N218" s="127"/>
      <c r="O218" s="124"/>
      <c r="P218" s="124"/>
      <c r="Q218" s="202"/>
      <c r="R218" s="148"/>
      <c r="S218" s="148"/>
      <c r="T218" s="148"/>
    </row>
    <row r="219" spans="1:20" ht="16.5" thickBot="1" x14ac:dyDescent="0.3">
      <c r="A219" s="2"/>
      <c r="B219" s="16"/>
      <c r="C219" s="19"/>
      <c r="D219" s="3"/>
      <c r="E219" s="18"/>
      <c r="F219" s="5"/>
      <c r="G219" s="3"/>
      <c r="H219" s="3"/>
      <c r="I219" s="36"/>
      <c r="J219" s="36"/>
      <c r="K219" s="37"/>
      <c r="L219" s="4"/>
      <c r="M219" s="5"/>
      <c r="N219" s="5"/>
      <c r="O219" s="5"/>
      <c r="P219" s="5"/>
      <c r="Q219" s="202"/>
      <c r="R219" s="148"/>
      <c r="S219" s="148"/>
      <c r="T219" s="148"/>
    </row>
    <row r="220" spans="1:20" ht="20.25" thickBot="1" x14ac:dyDescent="0.4">
      <c r="B220" s="16" t="s">
        <v>238</v>
      </c>
      <c r="C220" s="5"/>
      <c r="D220" s="3"/>
      <c r="E220" s="18"/>
      <c r="F220" s="5"/>
      <c r="G220" s="3"/>
      <c r="H220" s="3"/>
      <c r="I220" s="36"/>
      <c r="J220" s="164" t="s">
        <v>86</v>
      </c>
      <c r="K220" s="309">
        <f>Box_AT-Box_EAM-Box_ALIDC</f>
        <v>0</v>
      </c>
      <c r="L220" s="32" t="s">
        <v>14</v>
      </c>
      <c r="M220" s="5"/>
      <c r="N220" s="5"/>
      <c r="O220" s="5"/>
      <c r="P220" s="5"/>
      <c r="Q220" s="202" t="s">
        <v>17</v>
      </c>
      <c r="R220" s="148"/>
      <c r="S220" s="148"/>
      <c r="T220" s="148"/>
    </row>
    <row r="221" spans="1:20" ht="16.5" thickBot="1" x14ac:dyDescent="0.3">
      <c r="B221" s="16"/>
      <c r="C221" s="5"/>
      <c r="D221" s="3"/>
      <c r="E221" s="18"/>
      <c r="F221" s="5"/>
      <c r="G221" s="3"/>
      <c r="H221" s="3"/>
      <c r="I221" s="36"/>
      <c r="J221" s="19"/>
      <c r="K221" s="3"/>
      <c r="L221" s="3"/>
      <c r="M221" s="5"/>
      <c r="N221" s="5"/>
      <c r="O221" s="5"/>
      <c r="P221" s="5"/>
      <c r="Q221" s="202"/>
      <c r="R221" s="148"/>
      <c r="S221" s="148"/>
      <c r="T221" s="148"/>
    </row>
    <row r="222" spans="1:20" ht="20.25" thickBot="1" x14ac:dyDescent="0.4">
      <c r="B222" s="16" t="s">
        <v>239</v>
      </c>
      <c r="C222" s="5"/>
      <c r="D222" s="3"/>
      <c r="E222" s="18"/>
      <c r="F222" s="5"/>
      <c r="G222" s="3"/>
      <c r="H222" s="3"/>
      <c r="I222" s="36"/>
      <c r="J222" s="164" t="s">
        <v>237</v>
      </c>
      <c r="K222" s="310">
        <f>IF(Box_A=0,0,IF(Box_AT*Box_I-Box_EAM-Box_ALIDC&lt;0,0,(Box_AT*Box_I-Box_EAM-Box_ALIDC)/Box_A))</f>
        <v>0</v>
      </c>
      <c r="L222" s="38" t="s">
        <v>15</v>
      </c>
      <c r="M222" s="5"/>
      <c r="N222" s="5"/>
      <c r="O222" s="5"/>
      <c r="P222" s="5"/>
      <c r="Q222" s="5" t="e">
        <f>Box_I</f>
        <v>#N/A</v>
      </c>
      <c r="R222" s="5" t="s">
        <v>245</v>
      </c>
      <c r="S222" s="148"/>
      <c r="T222" s="148"/>
    </row>
    <row r="223" spans="1:20" ht="18.75" thickBot="1" x14ac:dyDescent="0.4">
      <c r="A223" s="2"/>
      <c r="B223" s="143"/>
      <c r="C223" s="144"/>
      <c r="D223" s="143"/>
      <c r="E223" s="143" t="s">
        <v>16</v>
      </c>
      <c r="F223" s="143"/>
      <c r="G223" s="144"/>
      <c r="H223" s="145"/>
      <c r="I223" s="143"/>
      <c r="J223" s="143"/>
      <c r="K223" s="146"/>
      <c r="L223" s="146"/>
      <c r="M223" s="144"/>
      <c r="N223" s="144"/>
      <c r="O223" s="144"/>
      <c r="P223" s="144"/>
      <c r="Q223" s="5" t="e">
        <f>Box_AT*Box_I</f>
        <v>#N/A</v>
      </c>
      <c r="R223" s="183" t="s">
        <v>269</v>
      </c>
      <c r="S223" s="148"/>
      <c r="T223" s="148"/>
    </row>
    <row r="224" spans="1:20" ht="31.5" customHeight="1" thickTop="1" thickBot="1" x14ac:dyDescent="0.4">
      <c r="A224" s="2"/>
      <c r="B224" s="332" t="str">
        <f>IF(OR(Box_AAT&lt;0.01,Box_IA&lt;0.01),"STOP: No additional treatment needed","Further treatment is required, see choose flow-based or volume-based sizing in Step 4")</f>
        <v>STOP: No additional treatment needed</v>
      </c>
      <c r="C224" s="57"/>
      <c r="D224" s="57"/>
      <c r="E224" s="57"/>
      <c r="F224" s="68"/>
      <c r="G224" s="68"/>
      <c r="H224" s="67"/>
      <c r="I224" s="67"/>
      <c r="J224" s="67"/>
      <c r="K224" s="67"/>
      <c r="L224" s="67"/>
      <c r="M224" s="67"/>
      <c r="N224" s="67"/>
      <c r="O224" s="51"/>
      <c r="P224" s="51"/>
    </row>
    <row r="225" spans="2:17" ht="18" x14ac:dyDescent="0.25">
      <c r="B225" s="69" t="s">
        <v>240</v>
      </c>
      <c r="C225" s="70"/>
      <c r="D225" s="70"/>
      <c r="E225" s="70"/>
      <c r="F225" s="70"/>
      <c r="G225" s="71"/>
      <c r="H225" s="71"/>
      <c r="I225" s="71"/>
      <c r="J225" s="72"/>
      <c r="K225" s="72"/>
      <c r="L225" s="70"/>
      <c r="M225" s="70"/>
      <c r="N225" s="70"/>
      <c r="O225" s="70"/>
      <c r="P225" s="70"/>
    </row>
    <row r="226" spans="2:17" ht="18" x14ac:dyDescent="0.25">
      <c r="B226" s="69" t="s">
        <v>234</v>
      </c>
      <c r="C226" s="70"/>
      <c r="D226" s="70"/>
      <c r="E226" s="70"/>
      <c r="F226" s="70"/>
      <c r="G226" s="70"/>
      <c r="H226" s="300"/>
      <c r="I226" s="300"/>
      <c r="J226" s="300"/>
      <c r="K226" s="301"/>
      <c r="L226" s="301"/>
      <c r="M226" s="70"/>
      <c r="N226" s="70"/>
      <c r="O226" s="70"/>
      <c r="P226" s="70"/>
      <c r="Q226" s="29"/>
    </row>
    <row r="227" spans="2:17" x14ac:dyDescent="0.25">
      <c r="B227" s="5"/>
      <c r="C227" s="5"/>
      <c r="D227" s="5"/>
      <c r="E227" s="5"/>
      <c r="F227" s="5"/>
      <c r="G227" s="5"/>
      <c r="H227" s="302"/>
      <c r="I227" s="302"/>
      <c r="J227" s="302"/>
      <c r="K227" s="303"/>
      <c r="L227" s="303"/>
      <c r="M227" s="5"/>
      <c r="N227" s="5"/>
      <c r="O227" s="5"/>
      <c r="P227" s="5"/>
      <c r="Q227" s="18"/>
    </row>
    <row r="228" spans="2:17" ht="13.5" customHeight="1" x14ac:dyDescent="0.25">
      <c r="B228" s="17" t="s">
        <v>41</v>
      </c>
      <c r="C228" s="17"/>
      <c r="D228" s="17"/>
      <c r="E228" s="73" t="s">
        <v>205</v>
      </c>
      <c r="F228" s="17"/>
      <c r="G228" s="17"/>
      <c r="H228" s="19"/>
      <c r="I228" s="302"/>
      <c r="J228" s="302"/>
      <c r="K228" s="303"/>
      <c r="L228" s="303"/>
      <c r="M228" s="5"/>
      <c r="N228" s="5"/>
      <c r="O228" s="5"/>
      <c r="P228" s="5"/>
      <c r="Q228" s="5"/>
    </row>
    <row r="229" spans="2:17" ht="15.75" customHeight="1" thickBot="1" x14ac:dyDescent="0.3">
      <c r="B229" s="17"/>
      <c r="C229" s="17"/>
      <c r="D229" s="17"/>
      <c r="E229" s="73"/>
      <c r="F229" s="17"/>
      <c r="G229" s="17"/>
      <c r="H229" s="19"/>
      <c r="I229" s="302"/>
      <c r="J229" s="302"/>
      <c r="K229" s="303"/>
      <c r="L229" s="303"/>
      <c r="M229" s="5"/>
      <c r="N229" s="5"/>
      <c r="O229" s="5"/>
      <c r="P229" s="5"/>
      <c r="Q229" s="5"/>
    </row>
    <row r="230" spans="2:17" ht="30" customHeight="1" thickBot="1" x14ac:dyDescent="0.3">
      <c r="B230" s="454" t="s">
        <v>206</v>
      </c>
      <c r="C230" s="369"/>
      <c r="D230" s="17"/>
      <c r="E230" s="380"/>
      <c r="F230" s="381"/>
      <c r="G230" s="17"/>
      <c r="H230" s="17" t="s">
        <v>47</v>
      </c>
      <c r="I230" s="30"/>
      <c r="J230" s="302"/>
      <c r="K230" s="303"/>
      <c r="L230" s="303"/>
      <c r="M230" s="5"/>
      <c r="N230" s="5"/>
      <c r="O230" s="5"/>
      <c r="P230" s="5"/>
      <c r="Q230" s="5"/>
    </row>
    <row r="231" spans="2:17" ht="15" customHeight="1" thickBot="1" x14ac:dyDescent="0.35">
      <c r="B231" s="369"/>
      <c r="C231" s="369"/>
      <c r="D231" s="17"/>
      <c r="E231" s="269"/>
      <c r="F231" s="5"/>
      <c r="G231" s="17"/>
      <c r="H231" s="17"/>
      <c r="I231" s="302"/>
      <c r="J231" s="302"/>
      <c r="K231" s="303"/>
      <c r="L231" s="303"/>
      <c r="M231" s="5"/>
      <c r="N231" s="5"/>
      <c r="O231" s="5"/>
      <c r="P231" s="5"/>
      <c r="Q231" s="5"/>
    </row>
    <row r="232" spans="2:17" ht="30" customHeight="1" thickBot="1" x14ac:dyDescent="0.3">
      <c r="B232" s="17" t="s">
        <v>207</v>
      </c>
      <c r="C232" s="17"/>
      <c r="D232" s="17"/>
      <c r="E232" s="452">
        <f>IF(C4=K242,M242,IF(C4=K243,M243,IF(C4=K244,M244,"select location in part 1")))</f>
        <v>0.18</v>
      </c>
      <c r="F232" s="453"/>
      <c r="G232" s="17"/>
      <c r="H232" s="17" t="s">
        <v>208</v>
      </c>
      <c r="I232" s="30"/>
      <c r="J232" s="302"/>
      <c r="K232" s="303"/>
      <c r="L232" s="303"/>
      <c r="M232" s="5"/>
      <c r="N232" s="5"/>
      <c r="O232" s="5"/>
      <c r="P232" s="5"/>
      <c r="Q232" s="5"/>
    </row>
    <row r="233" spans="2:17" ht="15" customHeight="1" thickBot="1" x14ac:dyDescent="0.35">
      <c r="B233" s="17"/>
      <c r="C233" s="17"/>
      <c r="D233" s="17"/>
      <c r="E233" s="269"/>
      <c r="F233" s="5"/>
      <c r="G233" s="17"/>
      <c r="H233" s="17"/>
      <c r="I233" s="302"/>
      <c r="J233" s="302"/>
      <c r="K233" s="303"/>
      <c r="L233" s="303"/>
      <c r="M233" s="5"/>
      <c r="N233" s="5"/>
      <c r="O233" s="5"/>
      <c r="P233" s="5"/>
      <c r="Q233" s="5"/>
    </row>
    <row r="234" spans="2:17" ht="30" customHeight="1" thickBot="1" x14ac:dyDescent="0.4">
      <c r="B234" s="17" t="s">
        <v>209</v>
      </c>
      <c r="C234" s="17"/>
      <c r="D234" s="17"/>
      <c r="E234" s="383">
        <f>Box_AAT</f>
        <v>0</v>
      </c>
      <c r="F234" s="368"/>
      <c r="G234" s="17"/>
      <c r="H234" s="17" t="s">
        <v>14</v>
      </c>
      <c r="I234" s="302"/>
      <c r="J234" s="5"/>
      <c r="K234" s="303"/>
      <c r="L234" s="303"/>
      <c r="M234" s="5"/>
      <c r="N234" s="5"/>
      <c r="O234" s="5"/>
      <c r="P234" s="5"/>
      <c r="Q234" s="5"/>
    </row>
    <row r="235" spans="2:17" ht="15.75" customHeight="1" x14ac:dyDescent="0.25">
      <c r="B235" s="17"/>
      <c r="C235" s="17"/>
      <c r="D235" s="17"/>
      <c r="E235" s="48"/>
      <c r="F235" s="5"/>
      <c r="G235" s="17"/>
      <c r="H235" s="17"/>
      <c r="I235" s="302"/>
      <c r="J235" s="302"/>
      <c r="K235" s="303"/>
      <c r="L235" s="303"/>
      <c r="M235" s="5"/>
      <c r="N235" s="5"/>
      <c r="O235" s="5"/>
      <c r="P235" s="5"/>
      <c r="Q235" s="5"/>
    </row>
    <row r="236" spans="2:17" ht="9.75" customHeight="1" thickBot="1" x14ac:dyDescent="0.3">
      <c r="B236" s="17"/>
      <c r="C236" s="17"/>
      <c r="D236" s="17"/>
      <c r="E236" s="48"/>
      <c r="F236" s="5"/>
      <c r="G236" s="17"/>
      <c r="H236" s="17"/>
      <c r="I236" s="302"/>
      <c r="J236" s="302"/>
      <c r="K236" s="303"/>
      <c r="L236" s="303"/>
      <c r="M236" s="5"/>
      <c r="N236" s="5"/>
      <c r="O236" s="5"/>
      <c r="P236" s="5"/>
      <c r="Q236" s="5"/>
    </row>
    <row r="237" spans="2:17" ht="30" customHeight="1" thickBot="1" x14ac:dyDescent="0.4">
      <c r="B237" s="17"/>
      <c r="C237" s="31" t="s">
        <v>210</v>
      </c>
      <c r="D237" s="17"/>
      <c r="E237" s="383">
        <f>IF(Box_A=0,0,E230*E232*E234)</f>
        <v>0</v>
      </c>
      <c r="F237" s="368"/>
      <c r="G237" s="17"/>
      <c r="H237" s="17" t="s">
        <v>48</v>
      </c>
      <c r="I237" s="302"/>
      <c r="J237" s="302"/>
      <c r="K237" s="303"/>
      <c r="L237" s="303"/>
      <c r="M237" s="5"/>
      <c r="N237" s="5"/>
      <c r="O237" s="5"/>
      <c r="P237" s="5"/>
      <c r="Q237" s="5"/>
    </row>
    <row r="238" spans="2:17" ht="9" customHeight="1" x14ac:dyDescent="0.25">
      <c r="B238" s="5"/>
      <c r="C238" s="5"/>
      <c r="D238" s="5"/>
      <c r="E238" s="74"/>
      <c r="F238" s="5"/>
      <c r="G238" s="5"/>
      <c r="H238" s="302"/>
      <c r="I238" s="302"/>
      <c r="J238" s="302"/>
      <c r="K238" s="303"/>
      <c r="L238" s="303"/>
      <c r="M238" s="5"/>
      <c r="N238" s="5"/>
      <c r="O238" s="5"/>
      <c r="P238" s="5"/>
      <c r="Q238" s="5"/>
    </row>
    <row r="239" spans="2:17" ht="13.5" customHeight="1" x14ac:dyDescent="0.25">
      <c r="E239" s="270"/>
      <c r="K239" s="316"/>
      <c r="L239" s="316"/>
      <c r="M239" s="316"/>
    </row>
    <row r="240" spans="2:17" ht="18.75" thickBot="1" x14ac:dyDescent="0.3">
      <c r="B240" s="364" t="s">
        <v>211</v>
      </c>
      <c r="C240" s="364"/>
      <c r="D240" s="364"/>
      <c r="E240" s="364"/>
      <c r="K240" s="364" t="s">
        <v>212</v>
      </c>
      <c r="L240" s="364"/>
      <c r="M240" s="364"/>
      <c r="N240" s="364"/>
    </row>
    <row r="241" spans="1:16" ht="72.75" customHeight="1" thickBot="1" x14ac:dyDescent="0.3">
      <c r="B241" s="311" t="s">
        <v>246</v>
      </c>
      <c r="C241" s="460" t="s">
        <v>213</v>
      </c>
      <c r="D241" s="460"/>
      <c r="E241" s="461"/>
      <c r="K241" s="466" t="s">
        <v>43</v>
      </c>
      <c r="L241" s="467"/>
      <c r="M241" s="467"/>
      <c r="N241" s="468"/>
    </row>
    <row r="242" spans="1:16" ht="18" x14ac:dyDescent="0.25">
      <c r="B242" s="312" t="s">
        <v>214</v>
      </c>
      <c r="C242" s="462">
        <v>0.5</v>
      </c>
      <c r="D242" s="462"/>
      <c r="E242" s="463"/>
      <c r="K242" s="271" t="s">
        <v>44</v>
      </c>
      <c r="L242" s="320" t="s">
        <v>45</v>
      </c>
      <c r="M242" s="272">
        <v>0.2</v>
      </c>
      <c r="N242" s="317" t="s">
        <v>215</v>
      </c>
    </row>
    <row r="243" spans="1:16" ht="18" x14ac:dyDescent="0.25">
      <c r="B243" s="313" t="s">
        <v>216</v>
      </c>
      <c r="C243" s="462">
        <v>0.6</v>
      </c>
      <c r="D243" s="462"/>
      <c r="E243" s="463"/>
      <c r="K243" s="271" t="s">
        <v>2</v>
      </c>
      <c r="L243" s="320" t="s">
        <v>45</v>
      </c>
      <c r="M243" s="272">
        <v>0.18</v>
      </c>
      <c r="N243" s="318" t="s">
        <v>215</v>
      </c>
    </row>
    <row r="244" spans="1:16" ht="18.75" thickBot="1" x14ac:dyDescent="0.3">
      <c r="B244" s="313" t="s">
        <v>217</v>
      </c>
      <c r="C244" s="462">
        <v>0.7</v>
      </c>
      <c r="D244" s="462"/>
      <c r="E244" s="463"/>
      <c r="K244" s="273" t="s">
        <v>46</v>
      </c>
      <c r="L244" s="321" t="s">
        <v>45</v>
      </c>
      <c r="M244" s="274">
        <v>0.2</v>
      </c>
      <c r="N244" s="319" t="s">
        <v>215</v>
      </c>
    </row>
    <row r="245" spans="1:16" ht="18.75" thickBot="1" x14ac:dyDescent="0.3">
      <c r="B245" s="314" t="s">
        <v>218</v>
      </c>
      <c r="C245" s="462">
        <v>0.75</v>
      </c>
      <c r="D245" s="462"/>
      <c r="E245" s="463"/>
      <c r="F245" s="275"/>
      <c r="G245" s="85"/>
      <c r="H245" s="43"/>
      <c r="I245" s="276"/>
      <c r="J245" s="107"/>
      <c r="K245" s="107"/>
      <c r="L245" s="107"/>
      <c r="M245" s="107"/>
    </row>
    <row r="246" spans="1:16" ht="18.75" thickBot="1" x14ac:dyDescent="0.3">
      <c r="B246" s="315" t="s">
        <v>219</v>
      </c>
      <c r="C246" s="464">
        <v>0</v>
      </c>
      <c r="D246" s="464"/>
      <c r="E246" s="465"/>
      <c r="F246" s="277"/>
    </row>
    <row r="247" spans="1:16" s="41" customFormat="1" ht="12" customHeight="1" x14ac:dyDescent="0.25">
      <c r="E247" s="76"/>
      <c r="H247" s="304"/>
      <c r="I247" s="304"/>
      <c r="J247" s="304"/>
      <c r="K247" s="305"/>
      <c r="L247" s="305"/>
    </row>
    <row r="248" spans="1:16" ht="18" x14ac:dyDescent="0.25">
      <c r="A248" s="69" t="s">
        <v>85</v>
      </c>
      <c r="B248" s="70"/>
      <c r="C248" s="70"/>
      <c r="D248" s="77"/>
      <c r="E248" s="70"/>
      <c r="F248" s="70"/>
      <c r="G248" s="71"/>
      <c r="H248" s="71"/>
      <c r="I248" s="71"/>
      <c r="J248" s="72"/>
      <c r="K248" s="72"/>
      <c r="L248" s="70"/>
      <c r="M248" s="70"/>
      <c r="N248" s="70"/>
      <c r="O248" s="70"/>
      <c r="P248" s="70"/>
    </row>
    <row r="249" spans="1:16" x14ac:dyDescent="0.25">
      <c r="A249" s="5"/>
      <c r="B249" s="5"/>
      <c r="C249" s="5"/>
      <c r="D249" s="74"/>
      <c r="E249" s="5"/>
      <c r="F249" s="5"/>
      <c r="G249" s="3"/>
      <c r="H249" s="3"/>
      <c r="I249" s="3"/>
      <c r="J249" s="4"/>
      <c r="K249" s="4"/>
      <c r="L249" s="5"/>
      <c r="M249" s="5"/>
      <c r="N249" s="5"/>
      <c r="O249" s="5"/>
      <c r="P249" s="5"/>
    </row>
    <row r="250" spans="1:16" ht="19.5" x14ac:dyDescent="0.35">
      <c r="A250" s="17" t="s">
        <v>50</v>
      </c>
      <c r="B250" s="17"/>
      <c r="C250" s="17"/>
      <c r="D250" s="73" t="s">
        <v>51</v>
      </c>
      <c r="E250" s="17"/>
      <c r="F250" s="17"/>
      <c r="G250" s="3"/>
      <c r="H250" s="3"/>
      <c r="I250" s="3"/>
      <c r="J250" s="4"/>
      <c r="K250" s="4"/>
      <c r="L250" s="5"/>
      <c r="M250" s="5"/>
      <c r="N250" s="5"/>
      <c r="O250" s="5"/>
      <c r="P250" s="5"/>
    </row>
    <row r="251" spans="1:16" ht="16.5" thickBot="1" x14ac:dyDescent="0.3">
      <c r="A251" s="17"/>
      <c r="B251" s="17"/>
      <c r="C251" s="17"/>
      <c r="D251" s="73"/>
      <c r="E251" s="17"/>
      <c r="F251" s="17"/>
      <c r="G251" s="5"/>
      <c r="H251" s="3"/>
      <c r="I251" s="3"/>
      <c r="J251" s="4"/>
      <c r="K251" s="4"/>
      <c r="L251" s="5"/>
      <c r="M251" s="5"/>
      <c r="N251" s="5"/>
      <c r="O251" s="5"/>
      <c r="P251" s="5"/>
    </row>
    <row r="252" spans="1:16" ht="18.75" thickBot="1" x14ac:dyDescent="0.3">
      <c r="A252" s="17" t="s">
        <v>52</v>
      </c>
      <c r="B252" s="17"/>
      <c r="C252" s="17"/>
      <c r="D252" s="383">
        <f>Box_A</f>
        <v>0</v>
      </c>
      <c r="E252" s="439"/>
      <c r="F252" s="17"/>
      <c r="G252" s="17" t="s">
        <v>4</v>
      </c>
      <c r="H252" s="3"/>
      <c r="I252" s="80"/>
      <c r="J252" s="49" t="s">
        <v>53</v>
      </c>
      <c r="K252" s="49" t="s">
        <v>54</v>
      </c>
      <c r="L252" s="5"/>
      <c r="M252" s="5"/>
      <c r="N252" s="5"/>
      <c r="O252" s="5"/>
      <c r="P252" s="5"/>
    </row>
    <row r="253" spans="1:16" ht="19.5" thickBot="1" x14ac:dyDescent="0.35">
      <c r="A253" s="17"/>
      <c r="B253" s="17"/>
      <c r="C253" s="17"/>
      <c r="D253" s="81"/>
      <c r="E253" s="82"/>
      <c r="F253" s="17"/>
      <c r="G253" s="17"/>
      <c r="H253" s="3"/>
      <c r="I253" s="3"/>
      <c r="J253" s="4"/>
      <c r="K253" s="4"/>
      <c r="L253" s="5"/>
      <c r="M253" s="5"/>
      <c r="N253" s="5"/>
      <c r="O253" s="5"/>
      <c r="P253" s="5"/>
    </row>
    <row r="254" spans="1:16" ht="20.25" customHeight="1" thickBot="1" x14ac:dyDescent="0.4">
      <c r="A254" s="454" t="s">
        <v>278</v>
      </c>
      <c r="B254" s="454"/>
      <c r="C254" s="454"/>
      <c r="D254" s="383">
        <f>IF(Box_IA&lt;0.01,0,IF(drawdown_hrs=12,LOOKUP(Box_IA,Imperviousconversion!AD12:AD111,Imperviousconversion!AF12:AF111),IF(drawdown_hrs=24,LOOKUP(Box_IA,Imperviousconversion!AD12:AD111,Imperviousconversion!AG12:AG111),LOOKUP(Box_IA,Imperviousconversion!AD12:AD111,Imperviousconversion!AH12:AH111))))</f>
        <v>0</v>
      </c>
      <c r="E254" s="440"/>
      <c r="F254" s="17"/>
      <c r="G254" s="17" t="s">
        <v>55</v>
      </c>
      <c r="H254" s="30"/>
      <c r="I254" s="3"/>
      <c r="J254" s="4"/>
      <c r="K254" s="4"/>
      <c r="L254" s="5"/>
      <c r="M254" s="5"/>
      <c r="N254" s="5"/>
      <c r="O254" s="5"/>
      <c r="P254" s="5"/>
    </row>
    <row r="255" spans="1:16" ht="18.75" x14ac:dyDescent="0.3">
      <c r="A255" s="454"/>
      <c r="B255" s="454"/>
      <c r="C255" s="454"/>
      <c r="D255" s="81"/>
      <c r="E255" s="82"/>
      <c r="F255" s="17"/>
      <c r="G255" s="17"/>
      <c r="H255" s="3"/>
      <c r="I255" s="3"/>
      <c r="J255" s="4"/>
      <c r="K255" s="4"/>
      <c r="L255" s="5"/>
      <c r="M255" s="5"/>
      <c r="N255" s="5"/>
      <c r="O255" s="5"/>
      <c r="P255" s="5"/>
    </row>
    <row r="256" spans="1:16" ht="18.75" thickBot="1" x14ac:dyDescent="0.3">
      <c r="A256" s="17" t="s">
        <v>56</v>
      </c>
      <c r="B256" s="17"/>
      <c r="C256" s="17"/>
      <c r="D256" s="48"/>
      <c r="E256" s="5"/>
      <c r="F256" s="17"/>
      <c r="G256" s="17"/>
      <c r="H256" s="3"/>
      <c r="I256" s="3"/>
      <c r="J256" s="4"/>
      <c r="K256" s="4"/>
      <c r="L256" s="5"/>
      <c r="M256" s="5"/>
      <c r="N256" s="5"/>
      <c r="O256" s="5"/>
      <c r="P256" s="5"/>
    </row>
    <row r="257" spans="1:16" ht="20.25" thickBot="1" x14ac:dyDescent="0.4">
      <c r="A257" s="83"/>
      <c r="B257" s="75" t="s">
        <v>57</v>
      </c>
      <c r="C257" s="17"/>
      <c r="D257" s="383">
        <f>D252*D254/12</f>
        <v>0</v>
      </c>
      <c r="E257" s="384"/>
      <c r="F257" s="17"/>
      <c r="G257" s="17" t="s">
        <v>49</v>
      </c>
      <c r="H257" s="3"/>
      <c r="I257" s="3" t="s">
        <v>17</v>
      </c>
      <c r="J257" s="4"/>
      <c r="K257" s="4"/>
      <c r="L257" s="5"/>
      <c r="M257" s="5"/>
      <c r="N257" s="5"/>
      <c r="O257" s="5"/>
      <c r="P257" s="5"/>
    </row>
    <row r="258" spans="1:16" x14ac:dyDescent="0.25">
      <c r="A258" s="78"/>
      <c r="B258" s="5"/>
      <c r="C258" s="5"/>
      <c r="D258" s="79"/>
      <c r="E258" s="5"/>
      <c r="F258" s="5"/>
      <c r="G258" s="3"/>
      <c r="H258" s="3"/>
      <c r="I258" s="3"/>
      <c r="J258" s="4"/>
      <c r="K258" s="4"/>
      <c r="L258" s="5"/>
      <c r="M258" s="5"/>
      <c r="N258" s="5"/>
      <c r="O258" s="5"/>
      <c r="P258" s="330" t="s">
        <v>270</v>
      </c>
    </row>
    <row r="259" spans="1:16" ht="16.5" thickBot="1" x14ac:dyDescent="0.3">
      <c r="A259" s="207" t="s">
        <v>105</v>
      </c>
      <c r="G259" s="84"/>
      <c r="H259" s="85"/>
    </row>
    <row r="260" spans="1:16" ht="16.5" thickBot="1" x14ac:dyDescent="0.3">
      <c r="A260" s="183" t="s">
        <v>97</v>
      </c>
      <c r="B260" s="183"/>
      <c r="C260" s="183"/>
      <c r="D260" s="184"/>
      <c r="E260" s="185">
        <f>18/J260</f>
        <v>18</v>
      </c>
      <c r="F260" s="183" t="s">
        <v>98</v>
      </c>
      <c r="G260" s="84" t="s">
        <v>90</v>
      </c>
      <c r="I260" s="174" t="s">
        <v>95</v>
      </c>
      <c r="J260" s="306">
        <v>1</v>
      </c>
    </row>
    <row r="261" spans="1:16" x14ac:dyDescent="0.25">
      <c r="A261" s="175"/>
      <c r="B261" s="175"/>
      <c r="C261" s="175"/>
      <c r="D261" s="175"/>
      <c r="E261" s="175"/>
      <c r="F261" s="175"/>
      <c r="G261" s="175"/>
      <c r="H261" s="175"/>
      <c r="I261" s="175"/>
      <c r="J261" s="175"/>
      <c r="K261" s="175"/>
      <c r="L261" s="175"/>
      <c r="M261" s="175"/>
      <c r="N261" s="175"/>
      <c r="O261" s="175"/>
      <c r="P261" s="175"/>
    </row>
    <row r="262" spans="1:16" ht="15.75" thickBot="1" x14ac:dyDescent="0.3">
      <c r="A262" s="182" t="s">
        <v>133</v>
      </c>
      <c r="B262" s="5"/>
      <c r="C262" s="5"/>
      <c r="D262" s="74"/>
      <c r="E262" s="5"/>
      <c r="F262" s="5"/>
      <c r="G262" s="3"/>
      <c r="H262" s="3"/>
      <c r="I262" s="3"/>
      <c r="J262" s="4"/>
      <c r="K262" s="4"/>
      <c r="L262" s="5"/>
      <c r="M262" s="5"/>
      <c r="N262" s="5"/>
      <c r="O262" s="5"/>
      <c r="P262" s="5"/>
    </row>
    <row r="263" spans="1:16" ht="18" customHeight="1" thickBot="1" x14ac:dyDescent="0.3">
      <c r="A263" s="17" t="s">
        <v>100</v>
      </c>
      <c r="B263" s="17"/>
      <c r="C263" s="17"/>
      <c r="D263" s="180"/>
      <c r="E263" s="181">
        <v>1</v>
      </c>
      <c r="G263" s="17" t="s">
        <v>8</v>
      </c>
      <c r="H263" s="3"/>
      <c r="I263" s="3"/>
      <c r="J263" s="4"/>
      <c r="K263" s="4"/>
      <c r="L263" s="5"/>
      <c r="M263" s="5"/>
      <c r="N263" s="5"/>
      <c r="O263" s="5"/>
      <c r="P263" s="5"/>
    </row>
    <row r="264" spans="1:16" ht="8.25" customHeight="1" x14ac:dyDescent="0.25">
      <c r="A264" s="188"/>
      <c r="B264" s="188"/>
      <c r="C264" s="188"/>
      <c r="D264" s="198"/>
      <c r="E264" s="175"/>
      <c r="F264" s="175"/>
      <c r="G264" s="188"/>
      <c r="H264" s="176"/>
      <c r="I264" s="176"/>
      <c r="J264" s="189"/>
      <c r="K264" s="189"/>
      <c r="L264" s="12"/>
      <c r="M264" s="12"/>
      <c r="N264" s="12"/>
      <c r="O264" s="12"/>
      <c r="P264" s="12"/>
    </row>
    <row r="265" spans="1:16" ht="19.5" thickBot="1" x14ac:dyDescent="0.35">
      <c r="A265" s="182" t="s">
        <v>99</v>
      </c>
      <c r="B265" s="17"/>
      <c r="C265" s="17"/>
      <c r="D265" s="81"/>
      <c r="E265" s="82"/>
      <c r="F265" s="17"/>
      <c r="G265" s="17"/>
      <c r="H265" s="3"/>
      <c r="I265" s="3"/>
      <c r="J265" s="4"/>
      <c r="K265" s="4"/>
      <c r="L265" s="5"/>
      <c r="M265" s="5"/>
      <c r="N265" s="5"/>
      <c r="O265" s="5"/>
      <c r="P265" s="5"/>
    </row>
    <row r="266" spans="1:16" ht="18.75" thickBot="1" x14ac:dyDescent="0.3">
      <c r="A266" s="441" t="s">
        <v>135</v>
      </c>
      <c r="B266" s="441"/>
      <c r="C266" s="441"/>
      <c r="D266" s="383">
        <f>IF(drawdown_hrs_inf=12,LOOKUP(Box_I1,Imperviousconversion!AD30:AD129,Imperviousconversion!AF30:AF129),IF(drawdown_hrs_inf=24,LOOKUP(Box_I1,Imperviousconversion!AD30:AD129,Imperviousconversion!AG30:AG129),LOOKUP(Box_I1,Imperviousconversion!AD30:AD129,Imperviousconversion!AH30:AH129)))</f>
        <v>0.96304780000000012</v>
      </c>
      <c r="E266" s="443"/>
      <c r="F266" s="3" t="s">
        <v>96</v>
      </c>
      <c r="G266" s="23" t="s">
        <v>256</v>
      </c>
      <c r="H266" s="30"/>
      <c r="I266" s="3"/>
      <c r="J266" s="37"/>
      <c r="K266" s="37"/>
      <c r="L266" s="18"/>
      <c r="M266" s="18"/>
      <c r="N266" s="18"/>
      <c r="O266" s="18"/>
      <c r="P266" s="18"/>
    </row>
    <row r="267" spans="1:16" ht="29.25" customHeight="1" x14ac:dyDescent="0.3">
      <c r="A267" s="442"/>
      <c r="B267" s="442"/>
      <c r="C267" s="442"/>
      <c r="D267" s="186"/>
      <c r="E267" s="187"/>
      <c r="F267" s="176"/>
      <c r="G267" s="188"/>
      <c r="H267" s="176"/>
      <c r="I267" s="176"/>
      <c r="J267" s="189"/>
      <c r="K267" s="189"/>
      <c r="L267" s="12"/>
      <c r="M267" s="12"/>
      <c r="N267" s="12"/>
      <c r="O267" s="12"/>
      <c r="P267" s="12"/>
    </row>
    <row r="268" spans="1:16" x14ac:dyDescent="0.25">
      <c r="A268" s="182" t="s">
        <v>134</v>
      </c>
      <c r="B268" s="5"/>
      <c r="C268" s="5"/>
      <c r="D268" s="74"/>
      <c r="E268" s="5"/>
      <c r="F268" s="3"/>
      <c r="G268" s="3"/>
      <c r="H268" s="3"/>
      <c r="I268" s="3"/>
      <c r="J268" s="4"/>
      <c r="K268" s="4"/>
      <c r="L268" s="5"/>
      <c r="M268" s="5"/>
      <c r="N268" s="5"/>
      <c r="O268" s="5"/>
      <c r="P268" s="5"/>
    </row>
    <row r="269" spans="1:16" ht="12" customHeight="1" thickBot="1" x14ac:dyDescent="0.35">
      <c r="A269" s="17"/>
      <c r="B269" s="17"/>
      <c r="C269" s="17"/>
      <c r="D269" s="81"/>
      <c r="E269" s="82"/>
      <c r="F269" s="3"/>
      <c r="G269" s="17"/>
      <c r="H269" s="3"/>
      <c r="I269" s="3"/>
      <c r="J269" s="4"/>
      <c r="K269" s="4"/>
      <c r="L269" s="5"/>
      <c r="M269" s="5"/>
      <c r="N269" s="5"/>
      <c r="O269" s="5"/>
      <c r="P269" s="5"/>
    </row>
    <row r="270" spans="1:16" ht="20.25" customHeight="1" thickBot="1" x14ac:dyDescent="0.3">
      <c r="A270" s="441" t="s">
        <v>129</v>
      </c>
      <c r="B270" s="441"/>
      <c r="C270" s="441"/>
      <c r="D270" s="383">
        <f>LOOKUP(Box_I1,Imperviousconversion!AD36:AD135,Imperviousconversion!AF36:AF135)</f>
        <v>0.64366720000000011</v>
      </c>
      <c r="E270" s="440"/>
      <c r="F270" s="3" t="s">
        <v>96</v>
      </c>
      <c r="G270" s="23" t="s">
        <v>257</v>
      </c>
      <c r="H270" s="30"/>
      <c r="I270" s="3"/>
      <c r="J270" s="37"/>
      <c r="K270" s="37"/>
      <c r="L270" s="18"/>
      <c r="M270" s="18"/>
      <c r="N270" s="18"/>
      <c r="O270" s="18"/>
      <c r="P270" s="18"/>
    </row>
    <row r="271" spans="1:16" ht="33.75" customHeight="1" x14ac:dyDescent="0.3">
      <c r="A271" s="442"/>
      <c r="B271" s="442"/>
      <c r="C271" s="442"/>
      <c r="D271" s="186"/>
      <c r="E271" s="187"/>
      <c r="F271" s="188"/>
      <c r="G271" s="188"/>
      <c r="H271" s="176"/>
      <c r="I271" s="176"/>
      <c r="J271" s="189"/>
      <c r="K271" s="189"/>
      <c r="L271" s="12"/>
      <c r="M271" s="12"/>
      <c r="N271" s="12"/>
      <c r="O271" s="12"/>
      <c r="P271" s="12"/>
    </row>
  </sheetData>
  <protectedRanges>
    <protectedRange sqref="G179 G181 J157 J148 J139 H126 H101 F28" name="Range1"/>
    <protectedRange sqref="H99" name="Range1_3"/>
    <protectedRange sqref="C246 E230" name="Range1_4"/>
    <protectedRange sqref="F19" name="Range1_1_2"/>
  </protectedRanges>
  <mergeCells count="80">
    <mergeCell ref="A270:C271"/>
    <mergeCell ref="D270:E270"/>
    <mergeCell ref="F10:H10"/>
    <mergeCell ref="B217:P217"/>
    <mergeCell ref="A254:C255"/>
    <mergeCell ref="L17:N23"/>
    <mergeCell ref="L8:N14"/>
    <mergeCell ref="C241:E241"/>
    <mergeCell ref="C242:E242"/>
    <mergeCell ref="C243:E243"/>
    <mergeCell ref="C244:E244"/>
    <mergeCell ref="C245:E245"/>
    <mergeCell ref="C246:E246"/>
    <mergeCell ref="B240:E240"/>
    <mergeCell ref="K241:N241"/>
    <mergeCell ref="D257:E257"/>
    <mergeCell ref="D252:E252"/>
    <mergeCell ref="D254:E254"/>
    <mergeCell ref="A266:C267"/>
    <mergeCell ref="D266:E266"/>
    <mergeCell ref="J65:J67"/>
    <mergeCell ref="H99:I99"/>
    <mergeCell ref="H101:I101"/>
    <mergeCell ref="H112:I112"/>
    <mergeCell ref="H115:I115"/>
    <mergeCell ref="B138:H139"/>
    <mergeCell ref="E232:F232"/>
    <mergeCell ref="E234:F234"/>
    <mergeCell ref="E237:F237"/>
    <mergeCell ref="B156:H157"/>
    <mergeCell ref="J157:K157"/>
    <mergeCell ref="B230:C231"/>
    <mergeCell ref="F30:G30"/>
    <mergeCell ref="F32:G32"/>
    <mergeCell ref="B65:B67"/>
    <mergeCell ref="F65:F67"/>
    <mergeCell ref="F36:H36"/>
    <mergeCell ref="F23:H23"/>
    <mergeCell ref="F24:H24"/>
    <mergeCell ref="F14:H14"/>
    <mergeCell ref="F15:H15"/>
    <mergeCell ref="F28:G28"/>
    <mergeCell ref="F17:H17"/>
    <mergeCell ref="L65:M67"/>
    <mergeCell ref="H83:I83"/>
    <mergeCell ref="M117:N117"/>
    <mergeCell ref="J139:K139"/>
    <mergeCell ref="B1:P1"/>
    <mergeCell ref="C3:G3"/>
    <mergeCell ref="C4:D4"/>
    <mergeCell ref="F19:H19"/>
    <mergeCell ref="F26:H26"/>
    <mergeCell ref="F11:H11"/>
    <mergeCell ref="F12:H12"/>
    <mergeCell ref="F13:H13"/>
    <mergeCell ref="F8:H8"/>
    <mergeCell ref="F20:H20"/>
    <mergeCell ref="F21:H21"/>
    <mergeCell ref="F22:H22"/>
    <mergeCell ref="E230:F230"/>
    <mergeCell ref="J165:K165"/>
    <mergeCell ref="M165:N165"/>
    <mergeCell ref="J167:K167"/>
    <mergeCell ref="M167:N167"/>
    <mergeCell ref="K240:N240"/>
    <mergeCell ref="M139:N139"/>
    <mergeCell ref="J142:K142"/>
    <mergeCell ref="M142:N142"/>
    <mergeCell ref="B147:H148"/>
    <mergeCell ref="N184:O185"/>
    <mergeCell ref="C177:D177"/>
    <mergeCell ref="G179:H179"/>
    <mergeCell ref="G181:H181"/>
    <mergeCell ref="M157:N157"/>
    <mergeCell ref="J160:K160"/>
    <mergeCell ref="M160:N160"/>
    <mergeCell ref="J148:K148"/>
    <mergeCell ref="M148:N148"/>
    <mergeCell ref="J151:K151"/>
    <mergeCell ref="M151:N151"/>
  </mergeCells>
  <dataValidations disablePrompts="1" count="11">
    <dataValidation type="list" allowBlank="1" showInputMessage="1" showErrorMessage="1" sqref="I252 G200">
      <formula1>drawdown_time</formula1>
    </dataValidation>
    <dataValidation type="decimal" allowBlank="1" showInputMessage="1" showErrorMessage="1" error="Enter whole number from 6 to 12" promptTitle="Bioretention/Planter Box Ponding" prompt="Enter ponding depth in whole inches from 6 to 12" sqref="G197">
      <formula1>6</formula1>
      <formula2>12</formula2>
    </dataValidation>
    <dataValidation type="list" allowBlank="1" showInputMessage="1" showErrorMessage="1" sqref="WVO179:WVP179 JC179:JD179 SY179:SZ179 ACU179:ACV179 AMQ179:AMR179 AWM179:AWN179 BGI179:BGJ179 BQE179:BQF179 CAA179:CAB179 CJW179:CJX179 CTS179:CTT179 DDO179:DDP179 DNK179:DNL179 DXG179:DXH179 EHC179:EHD179 EQY179:EQZ179 FAU179:FAV179 FKQ179:FKR179 FUM179:FUN179 GEI179:GEJ179 GOE179:GOF179 GYA179:GYB179 HHW179:HHX179 HRS179:HRT179 IBO179:IBP179 ILK179:ILL179 IVG179:IVH179 JFC179:JFD179 JOY179:JOZ179 JYU179:JYV179 KIQ179:KIR179 KSM179:KSN179 LCI179:LCJ179 LME179:LMF179 LWA179:LWB179 MFW179:MFX179 MPS179:MPT179 MZO179:MZP179 NJK179:NJL179 NTG179:NTH179 ODC179:ODD179 OMY179:OMZ179 OWU179:OWV179 PGQ179:PGR179 PQM179:PQN179 QAI179:QAJ179 QKE179:QKF179 QUA179:QUB179 RDW179:RDX179 RNS179:RNT179 RXO179:RXP179 SHK179:SHL179 SRG179:SRH179 TBC179:TBD179 TKY179:TKZ179 TUU179:TUV179 UEQ179:UER179 UOM179:UON179 UYI179:UYJ179 VIE179:VIF179 VSA179:VSB179 WBW179:WBX179 WLS179:WLT179">
      <formula1>$E$157:$E$160</formula1>
    </dataValidation>
    <dataValidation type="list" allowBlank="1" showInputMessage="1" showErrorMessage="1" sqref="WVP99:WVQ99 WLT99:WLU99 WBX99:WBY99 VSB99:VSC99 VIF99:VIG99 UYJ99:UYK99 UON99:UOO99 UER99:UES99 TUV99:TUW99 TKZ99:TLA99 TBD99:TBE99 SRH99:SRI99 SHL99:SHM99 RXP99:RXQ99 RNT99:RNU99 RDX99:RDY99 QUB99:QUC99 QKF99:QKG99 QAJ99:QAK99 PQN99:PQO99 PGR99:PGS99 OWV99:OWW99 OMZ99:ONA99 ODD99:ODE99 NTH99:NTI99 NJL99:NJM99 MZP99:MZQ99 MPT99:MPU99 MFX99:MFY99 LWB99:LWC99 LMF99:LMG99 LCJ99:LCK99 KSN99:KSO99 KIR99:KIS99 JYV99:JYW99 JOZ99:JPA99 JFD99:JFE99 IVH99:IVI99 ILL99:ILM99 IBP99:IBQ99 HRT99:HRU99 HHX99:HHY99 GYB99:GYC99 GOF99:GOG99 GEJ99:GEK99 FUN99:FUO99 FKR99:FKS99 FAV99:FAW99 EQZ99:ERA99 EHD99:EHE99 DXH99:DXI99 DNL99:DNM99 DDP99:DDQ99 CTT99:CTU99 CJX99:CJY99 CAB99:CAC99 BQF99:BQG99 BGJ99:BGK99 AWN99:AWO99 AMR99:AMS99 ACV99:ACW99 SZ99:TA99 JD99:JE99">
      <formula1>$E$77:$E$80</formula1>
    </dataValidation>
    <dataValidation type="list" allowBlank="1" showInputMessage="1" showErrorMessage="1" sqref="H99:I99">
      <formula1>$E$93:$E$97</formula1>
    </dataValidation>
    <dataValidation type="list" allowBlank="1" showInputMessage="1" showErrorMessage="1" sqref="G179:H179">
      <formula1>$E$175:$E$178</formula1>
    </dataValidation>
    <dataValidation type="list" showInputMessage="1" showErrorMessage="1" prompt="Select C from table D-1b or type in space labeled &quot;user specified&quot;" sqref="WVM230 JA230 SW230 ACS230 AMO230 AWK230 BGG230 BQC230 BZY230 CJU230 CTQ230 DDM230 DNI230 DXE230 EHA230 EQW230 FAS230 FKO230 FUK230 GEG230 GOC230 GXY230 HHU230 HRQ230 IBM230 ILI230 IVE230 JFA230 JOW230 JYS230 KIO230 KSK230 LCG230 LMC230 LVY230 MFU230 MPQ230 MZM230 NJI230 NTE230 ODA230 OMW230 OWS230 PGO230 PQK230 QAG230 QKC230 QTY230 RDU230 RNQ230 RXM230 SHI230 SRE230 TBA230 TKW230 TUS230 UEO230 UOK230 UYG230 VIC230 VRY230 WBU230 WLQ230">
      <formula1>$D$187:$D$191</formula1>
    </dataValidation>
    <dataValidation type="list" allowBlank="1" showInputMessage="1" showErrorMessage="1" sqref="C4:D4">
      <formula1>cities</formula1>
    </dataValidation>
    <dataValidation type="list" showInputMessage="1" showErrorMessage="1" prompt="Select C from table D-1b or type in space labeled &quot;user specified&quot;" sqref="E230:F230">
      <formula1>$C$242:$C$246</formula1>
    </dataValidation>
    <dataValidation type="decimal" allowBlank="1" showInputMessage="1" showErrorMessage="1" promptTitle="Infiltration rate" prompt="Must be field verified and between 0.5 and 2 in/hr" sqref="G201">
      <formula1>0.5</formula1>
      <formula2>2</formula2>
    </dataValidation>
    <dataValidation type="list" allowBlank="1" showInputMessage="1" showErrorMessage="1" sqref="E207">
      <formula1>$R$200:$R$201</formula1>
    </dataValidation>
  </dataValidations>
  <pageMargins left="0.7" right="0.7" top="0.75" bottom="0.75" header="0.3" footer="0.3"/>
  <pageSetup scale="41" fitToHeight="3" orientation="portrait" r:id="rId1"/>
  <headerFooter>
    <oddFooter>&amp;A</oddFooter>
  </headerFooter>
  <rowBreaks count="2" manualBreakCount="2">
    <brk id="85" max="15" man="1"/>
    <brk id="186"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120"/>
  <sheetViews>
    <sheetView zoomScale="50" zoomScaleNormal="50" workbookViewId="0">
      <selection activeCell="I56" sqref="I56"/>
    </sheetView>
  </sheetViews>
  <sheetFormatPr defaultRowHeight="15" x14ac:dyDescent="0.25"/>
  <cols>
    <col min="1" max="1" width="2.140625" customWidth="1"/>
    <col min="2" max="3" width="20.7109375" customWidth="1"/>
    <col min="4" max="4" width="5.5703125" customWidth="1"/>
    <col min="5" max="6" width="20.7109375" customWidth="1"/>
    <col min="7" max="7" width="5.7109375" customWidth="1"/>
    <col min="8" max="9" width="20.7109375" customWidth="1"/>
    <col min="10" max="10" width="5.7109375" customWidth="1"/>
    <col min="11" max="12" width="20.7109375" customWidth="1"/>
    <col min="16" max="16" width="9.85546875" bestFit="1" customWidth="1"/>
    <col min="19" max="19" width="17.85546875" customWidth="1"/>
    <col min="20" max="20" width="12.7109375" bestFit="1" customWidth="1"/>
    <col min="257" max="257" width="2.140625" customWidth="1"/>
    <col min="258" max="259" width="20.7109375" customWidth="1"/>
    <col min="260" max="260" width="5.5703125" customWidth="1"/>
    <col min="261" max="262" width="20.7109375" customWidth="1"/>
    <col min="263" max="263" width="5.7109375" customWidth="1"/>
    <col min="264" max="265" width="20.7109375" customWidth="1"/>
    <col min="266" max="266" width="5.7109375" customWidth="1"/>
    <col min="267" max="268" width="20.7109375" customWidth="1"/>
    <col min="272" max="272" width="9.85546875" bestFit="1" customWidth="1"/>
    <col min="275" max="275" width="17.85546875" customWidth="1"/>
    <col min="276" max="276" width="12.7109375" bestFit="1" customWidth="1"/>
    <col min="513" max="513" width="2.140625" customWidth="1"/>
    <col min="514" max="515" width="20.7109375" customWidth="1"/>
    <col min="516" max="516" width="5.5703125" customWidth="1"/>
    <col min="517" max="518" width="20.7109375" customWidth="1"/>
    <col min="519" max="519" width="5.7109375" customWidth="1"/>
    <col min="520" max="521" width="20.7109375" customWidth="1"/>
    <col min="522" max="522" width="5.7109375" customWidth="1"/>
    <col min="523" max="524" width="20.7109375" customWidth="1"/>
    <col min="528" max="528" width="9.85546875" bestFit="1" customWidth="1"/>
    <col min="531" max="531" width="17.85546875" customWidth="1"/>
    <col min="532" max="532" width="12.7109375" bestFit="1" customWidth="1"/>
    <col min="769" max="769" width="2.140625" customWidth="1"/>
    <col min="770" max="771" width="20.7109375" customWidth="1"/>
    <col min="772" max="772" width="5.5703125" customWidth="1"/>
    <col min="773" max="774" width="20.7109375" customWidth="1"/>
    <col min="775" max="775" width="5.7109375" customWidth="1"/>
    <col min="776" max="777" width="20.7109375" customWidth="1"/>
    <col min="778" max="778" width="5.7109375" customWidth="1"/>
    <col min="779" max="780" width="20.7109375" customWidth="1"/>
    <col min="784" max="784" width="9.85546875" bestFit="1" customWidth="1"/>
    <col min="787" max="787" width="17.85546875" customWidth="1"/>
    <col min="788" max="788" width="12.7109375" bestFit="1" customWidth="1"/>
    <col min="1025" max="1025" width="2.140625" customWidth="1"/>
    <col min="1026" max="1027" width="20.7109375" customWidth="1"/>
    <col min="1028" max="1028" width="5.5703125" customWidth="1"/>
    <col min="1029" max="1030" width="20.7109375" customWidth="1"/>
    <col min="1031" max="1031" width="5.7109375" customWidth="1"/>
    <col min="1032" max="1033" width="20.7109375" customWidth="1"/>
    <col min="1034" max="1034" width="5.7109375" customWidth="1"/>
    <col min="1035" max="1036" width="20.7109375" customWidth="1"/>
    <col min="1040" max="1040" width="9.85546875" bestFit="1" customWidth="1"/>
    <col min="1043" max="1043" width="17.85546875" customWidth="1"/>
    <col min="1044" max="1044" width="12.7109375" bestFit="1" customWidth="1"/>
    <col min="1281" max="1281" width="2.140625" customWidth="1"/>
    <col min="1282" max="1283" width="20.7109375" customWidth="1"/>
    <col min="1284" max="1284" width="5.5703125" customWidth="1"/>
    <col min="1285" max="1286" width="20.7109375" customWidth="1"/>
    <col min="1287" max="1287" width="5.7109375" customWidth="1"/>
    <col min="1288" max="1289" width="20.7109375" customWidth="1"/>
    <col min="1290" max="1290" width="5.7109375" customWidth="1"/>
    <col min="1291" max="1292" width="20.7109375" customWidth="1"/>
    <col min="1296" max="1296" width="9.85546875" bestFit="1" customWidth="1"/>
    <col min="1299" max="1299" width="17.85546875" customWidth="1"/>
    <col min="1300" max="1300" width="12.7109375" bestFit="1" customWidth="1"/>
    <col min="1537" max="1537" width="2.140625" customWidth="1"/>
    <col min="1538" max="1539" width="20.7109375" customWidth="1"/>
    <col min="1540" max="1540" width="5.5703125" customWidth="1"/>
    <col min="1541" max="1542" width="20.7109375" customWidth="1"/>
    <col min="1543" max="1543" width="5.7109375" customWidth="1"/>
    <col min="1544" max="1545" width="20.7109375" customWidth="1"/>
    <col min="1546" max="1546" width="5.7109375" customWidth="1"/>
    <col min="1547" max="1548" width="20.7109375" customWidth="1"/>
    <col min="1552" max="1552" width="9.85546875" bestFit="1" customWidth="1"/>
    <col min="1555" max="1555" width="17.85546875" customWidth="1"/>
    <col min="1556" max="1556" width="12.7109375" bestFit="1" customWidth="1"/>
    <col min="1793" max="1793" width="2.140625" customWidth="1"/>
    <col min="1794" max="1795" width="20.7109375" customWidth="1"/>
    <col min="1796" max="1796" width="5.5703125" customWidth="1"/>
    <col min="1797" max="1798" width="20.7109375" customWidth="1"/>
    <col min="1799" max="1799" width="5.7109375" customWidth="1"/>
    <col min="1800" max="1801" width="20.7109375" customWidth="1"/>
    <col min="1802" max="1802" width="5.7109375" customWidth="1"/>
    <col min="1803" max="1804" width="20.7109375" customWidth="1"/>
    <col min="1808" max="1808" width="9.85546875" bestFit="1" customWidth="1"/>
    <col min="1811" max="1811" width="17.85546875" customWidth="1"/>
    <col min="1812" max="1812" width="12.7109375" bestFit="1" customWidth="1"/>
    <col min="2049" max="2049" width="2.140625" customWidth="1"/>
    <col min="2050" max="2051" width="20.7109375" customWidth="1"/>
    <col min="2052" max="2052" width="5.5703125" customWidth="1"/>
    <col min="2053" max="2054" width="20.7109375" customWidth="1"/>
    <col min="2055" max="2055" width="5.7109375" customWidth="1"/>
    <col min="2056" max="2057" width="20.7109375" customWidth="1"/>
    <col min="2058" max="2058" width="5.7109375" customWidth="1"/>
    <col min="2059" max="2060" width="20.7109375" customWidth="1"/>
    <col min="2064" max="2064" width="9.85546875" bestFit="1" customWidth="1"/>
    <col min="2067" max="2067" width="17.85546875" customWidth="1"/>
    <col min="2068" max="2068" width="12.7109375" bestFit="1" customWidth="1"/>
    <col min="2305" max="2305" width="2.140625" customWidth="1"/>
    <col min="2306" max="2307" width="20.7109375" customWidth="1"/>
    <col min="2308" max="2308" width="5.5703125" customWidth="1"/>
    <col min="2309" max="2310" width="20.7109375" customWidth="1"/>
    <col min="2311" max="2311" width="5.7109375" customWidth="1"/>
    <col min="2312" max="2313" width="20.7109375" customWidth="1"/>
    <col min="2314" max="2314" width="5.7109375" customWidth="1"/>
    <col min="2315" max="2316" width="20.7109375" customWidth="1"/>
    <col min="2320" max="2320" width="9.85546875" bestFit="1" customWidth="1"/>
    <col min="2323" max="2323" width="17.85546875" customWidth="1"/>
    <col min="2324" max="2324" width="12.7109375" bestFit="1" customWidth="1"/>
    <col min="2561" max="2561" width="2.140625" customWidth="1"/>
    <col min="2562" max="2563" width="20.7109375" customWidth="1"/>
    <col min="2564" max="2564" width="5.5703125" customWidth="1"/>
    <col min="2565" max="2566" width="20.7109375" customWidth="1"/>
    <col min="2567" max="2567" width="5.7109375" customWidth="1"/>
    <col min="2568" max="2569" width="20.7109375" customWidth="1"/>
    <col min="2570" max="2570" width="5.7109375" customWidth="1"/>
    <col min="2571" max="2572" width="20.7109375" customWidth="1"/>
    <col min="2576" max="2576" width="9.85546875" bestFit="1" customWidth="1"/>
    <col min="2579" max="2579" width="17.85546875" customWidth="1"/>
    <col min="2580" max="2580" width="12.7109375" bestFit="1" customWidth="1"/>
    <col min="2817" max="2817" width="2.140625" customWidth="1"/>
    <col min="2818" max="2819" width="20.7109375" customWidth="1"/>
    <col min="2820" max="2820" width="5.5703125" customWidth="1"/>
    <col min="2821" max="2822" width="20.7109375" customWidth="1"/>
    <col min="2823" max="2823" width="5.7109375" customWidth="1"/>
    <col min="2824" max="2825" width="20.7109375" customWidth="1"/>
    <col min="2826" max="2826" width="5.7109375" customWidth="1"/>
    <col min="2827" max="2828" width="20.7109375" customWidth="1"/>
    <col min="2832" max="2832" width="9.85546875" bestFit="1" customWidth="1"/>
    <col min="2835" max="2835" width="17.85546875" customWidth="1"/>
    <col min="2836" max="2836" width="12.7109375" bestFit="1" customWidth="1"/>
    <col min="3073" max="3073" width="2.140625" customWidth="1"/>
    <col min="3074" max="3075" width="20.7109375" customWidth="1"/>
    <col min="3076" max="3076" width="5.5703125" customWidth="1"/>
    <col min="3077" max="3078" width="20.7109375" customWidth="1"/>
    <col min="3079" max="3079" width="5.7109375" customWidth="1"/>
    <col min="3080" max="3081" width="20.7109375" customWidth="1"/>
    <col min="3082" max="3082" width="5.7109375" customWidth="1"/>
    <col min="3083" max="3084" width="20.7109375" customWidth="1"/>
    <col min="3088" max="3088" width="9.85546875" bestFit="1" customWidth="1"/>
    <col min="3091" max="3091" width="17.85546875" customWidth="1"/>
    <col min="3092" max="3092" width="12.7109375" bestFit="1" customWidth="1"/>
    <col min="3329" max="3329" width="2.140625" customWidth="1"/>
    <col min="3330" max="3331" width="20.7109375" customWidth="1"/>
    <col min="3332" max="3332" width="5.5703125" customWidth="1"/>
    <col min="3333" max="3334" width="20.7109375" customWidth="1"/>
    <col min="3335" max="3335" width="5.7109375" customWidth="1"/>
    <col min="3336" max="3337" width="20.7109375" customWidth="1"/>
    <col min="3338" max="3338" width="5.7109375" customWidth="1"/>
    <col min="3339" max="3340" width="20.7109375" customWidth="1"/>
    <col min="3344" max="3344" width="9.85546875" bestFit="1" customWidth="1"/>
    <col min="3347" max="3347" width="17.85546875" customWidth="1"/>
    <col min="3348" max="3348" width="12.7109375" bestFit="1" customWidth="1"/>
    <col min="3585" max="3585" width="2.140625" customWidth="1"/>
    <col min="3586" max="3587" width="20.7109375" customWidth="1"/>
    <col min="3588" max="3588" width="5.5703125" customWidth="1"/>
    <col min="3589" max="3590" width="20.7109375" customWidth="1"/>
    <col min="3591" max="3591" width="5.7109375" customWidth="1"/>
    <col min="3592" max="3593" width="20.7109375" customWidth="1"/>
    <col min="3594" max="3594" width="5.7109375" customWidth="1"/>
    <col min="3595" max="3596" width="20.7109375" customWidth="1"/>
    <col min="3600" max="3600" width="9.85546875" bestFit="1" customWidth="1"/>
    <col min="3603" max="3603" width="17.85546875" customWidth="1"/>
    <col min="3604" max="3604" width="12.7109375" bestFit="1" customWidth="1"/>
    <col min="3841" max="3841" width="2.140625" customWidth="1"/>
    <col min="3842" max="3843" width="20.7109375" customWidth="1"/>
    <col min="3844" max="3844" width="5.5703125" customWidth="1"/>
    <col min="3845" max="3846" width="20.7109375" customWidth="1"/>
    <col min="3847" max="3847" width="5.7109375" customWidth="1"/>
    <col min="3848" max="3849" width="20.7109375" customWidth="1"/>
    <col min="3850" max="3850" width="5.7109375" customWidth="1"/>
    <col min="3851" max="3852" width="20.7109375" customWidth="1"/>
    <col min="3856" max="3856" width="9.85546875" bestFit="1" customWidth="1"/>
    <col min="3859" max="3859" width="17.85546875" customWidth="1"/>
    <col min="3860" max="3860" width="12.7109375" bestFit="1" customWidth="1"/>
    <col min="4097" max="4097" width="2.140625" customWidth="1"/>
    <col min="4098" max="4099" width="20.7109375" customWidth="1"/>
    <col min="4100" max="4100" width="5.5703125" customWidth="1"/>
    <col min="4101" max="4102" width="20.7109375" customWidth="1"/>
    <col min="4103" max="4103" width="5.7109375" customWidth="1"/>
    <col min="4104" max="4105" width="20.7109375" customWidth="1"/>
    <col min="4106" max="4106" width="5.7109375" customWidth="1"/>
    <col min="4107" max="4108" width="20.7109375" customWidth="1"/>
    <col min="4112" max="4112" width="9.85546875" bestFit="1" customWidth="1"/>
    <col min="4115" max="4115" width="17.85546875" customWidth="1"/>
    <col min="4116" max="4116" width="12.7109375" bestFit="1" customWidth="1"/>
    <col min="4353" max="4353" width="2.140625" customWidth="1"/>
    <col min="4354" max="4355" width="20.7109375" customWidth="1"/>
    <col min="4356" max="4356" width="5.5703125" customWidth="1"/>
    <col min="4357" max="4358" width="20.7109375" customWidth="1"/>
    <col min="4359" max="4359" width="5.7109375" customWidth="1"/>
    <col min="4360" max="4361" width="20.7109375" customWidth="1"/>
    <col min="4362" max="4362" width="5.7109375" customWidth="1"/>
    <col min="4363" max="4364" width="20.7109375" customWidth="1"/>
    <col min="4368" max="4368" width="9.85546875" bestFit="1" customWidth="1"/>
    <col min="4371" max="4371" width="17.85546875" customWidth="1"/>
    <col min="4372" max="4372" width="12.7109375" bestFit="1" customWidth="1"/>
    <col min="4609" max="4609" width="2.140625" customWidth="1"/>
    <col min="4610" max="4611" width="20.7109375" customWidth="1"/>
    <col min="4612" max="4612" width="5.5703125" customWidth="1"/>
    <col min="4613" max="4614" width="20.7109375" customWidth="1"/>
    <col min="4615" max="4615" width="5.7109375" customWidth="1"/>
    <col min="4616" max="4617" width="20.7109375" customWidth="1"/>
    <col min="4618" max="4618" width="5.7109375" customWidth="1"/>
    <col min="4619" max="4620" width="20.7109375" customWidth="1"/>
    <col min="4624" max="4624" width="9.85546875" bestFit="1" customWidth="1"/>
    <col min="4627" max="4627" width="17.85546875" customWidth="1"/>
    <col min="4628" max="4628" width="12.7109375" bestFit="1" customWidth="1"/>
    <col min="4865" max="4865" width="2.140625" customWidth="1"/>
    <col min="4866" max="4867" width="20.7109375" customWidth="1"/>
    <col min="4868" max="4868" width="5.5703125" customWidth="1"/>
    <col min="4869" max="4870" width="20.7109375" customWidth="1"/>
    <col min="4871" max="4871" width="5.7109375" customWidth="1"/>
    <col min="4872" max="4873" width="20.7109375" customWidth="1"/>
    <col min="4874" max="4874" width="5.7109375" customWidth="1"/>
    <col min="4875" max="4876" width="20.7109375" customWidth="1"/>
    <col min="4880" max="4880" width="9.85546875" bestFit="1" customWidth="1"/>
    <col min="4883" max="4883" width="17.85546875" customWidth="1"/>
    <col min="4884" max="4884" width="12.7109375" bestFit="1" customWidth="1"/>
    <col min="5121" max="5121" width="2.140625" customWidth="1"/>
    <col min="5122" max="5123" width="20.7109375" customWidth="1"/>
    <col min="5124" max="5124" width="5.5703125" customWidth="1"/>
    <col min="5125" max="5126" width="20.7109375" customWidth="1"/>
    <col min="5127" max="5127" width="5.7109375" customWidth="1"/>
    <col min="5128" max="5129" width="20.7109375" customWidth="1"/>
    <col min="5130" max="5130" width="5.7109375" customWidth="1"/>
    <col min="5131" max="5132" width="20.7109375" customWidth="1"/>
    <col min="5136" max="5136" width="9.85546875" bestFit="1" customWidth="1"/>
    <col min="5139" max="5139" width="17.85546875" customWidth="1"/>
    <col min="5140" max="5140" width="12.7109375" bestFit="1" customWidth="1"/>
    <col min="5377" max="5377" width="2.140625" customWidth="1"/>
    <col min="5378" max="5379" width="20.7109375" customWidth="1"/>
    <col min="5380" max="5380" width="5.5703125" customWidth="1"/>
    <col min="5381" max="5382" width="20.7109375" customWidth="1"/>
    <col min="5383" max="5383" width="5.7109375" customWidth="1"/>
    <col min="5384" max="5385" width="20.7109375" customWidth="1"/>
    <col min="5386" max="5386" width="5.7109375" customWidth="1"/>
    <col min="5387" max="5388" width="20.7109375" customWidth="1"/>
    <col min="5392" max="5392" width="9.85546875" bestFit="1" customWidth="1"/>
    <col min="5395" max="5395" width="17.85546875" customWidth="1"/>
    <col min="5396" max="5396" width="12.7109375" bestFit="1" customWidth="1"/>
    <col min="5633" max="5633" width="2.140625" customWidth="1"/>
    <col min="5634" max="5635" width="20.7109375" customWidth="1"/>
    <col min="5636" max="5636" width="5.5703125" customWidth="1"/>
    <col min="5637" max="5638" width="20.7109375" customWidth="1"/>
    <col min="5639" max="5639" width="5.7109375" customWidth="1"/>
    <col min="5640" max="5641" width="20.7109375" customWidth="1"/>
    <col min="5642" max="5642" width="5.7109375" customWidth="1"/>
    <col min="5643" max="5644" width="20.7109375" customWidth="1"/>
    <col min="5648" max="5648" width="9.85546875" bestFit="1" customWidth="1"/>
    <col min="5651" max="5651" width="17.85546875" customWidth="1"/>
    <col min="5652" max="5652" width="12.7109375" bestFit="1" customWidth="1"/>
    <col min="5889" max="5889" width="2.140625" customWidth="1"/>
    <col min="5890" max="5891" width="20.7109375" customWidth="1"/>
    <col min="5892" max="5892" width="5.5703125" customWidth="1"/>
    <col min="5893" max="5894" width="20.7109375" customWidth="1"/>
    <col min="5895" max="5895" width="5.7109375" customWidth="1"/>
    <col min="5896" max="5897" width="20.7109375" customWidth="1"/>
    <col min="5898" max="5898" width="5.7109375" customWidth="1"/>
    <col min="5899" max="5900" width="20.7109375" customWidth="1"/>
    <col min="5904" max="5904" width="9.85546875" bestFit="1" customWidth="1"/>
    <col min="5907" max="5907" width="17.85546875" customWidth="1"/>
    <col min="5908" max="5908" width="12.7109375" bestFit="1" customWidth="1"/>
    <col min="6145" max="6145" width="2.140625" customWidth="1"/>
    <col min="6146" max="6147" width="20.7109375" customWidth="1"/>
    <col min="6148" max="6148" width="5.5703125" customWidth="1"/>
    <col min="6149" max="6150" width="20.7109375" customWidth="1"/>
    <col min="6151" max="6151" width="5.7109375" customWidth="1"/>
    <col min="6152" max="6153" width="20.7109375" customWidth="1"/>
    <col min="6154" max="6154" width="5.7109375" customWidth="1"/>
    <col min="6155" max="6156" width="20.7109375" customWidth="1"/>
    <col min="6160" max="6160" width="9.85546875" bestFit="1" customWidth="1"/>
    <col min="6163" max="6163" width="17.85546875" customWidth="1"/>
    <col min="6164" max="6164" width="12.7109375" bestFit="1" customWidth="1"/>
    <col min="6401" max="6401" width="2.140625" customWidth="1"/>
    <col min="6402" max="6403" width="20.7109375" customWidth="1"/>
    <col min="6404" max="6404" width="5.5703125" customWidth="1"/>
    <col min="6405" max="6406" width="20.7109375" customWidth="1"/>
    <col min="6407" max="6407" width="5.7109375" customWidth="1"/>
    <col min="6408" max="6409" width="20.7109375" customWidth="1"/>
    <col min="6410" max="6410" width="5.7109375" customWidth="1"/>
    <col min="6411" max="6412" width="20.7109375" customWidth="1"/>
    <col min="6416" max="6416" width="9.85546875" bestFit="1" customWidth="1"/>
    <col min="6419" max="6419" width="17.85546875" customWidth="1"/>
    <col min="6420" max="6420" width="12.7109375" bestFit="1" customWidth="1"/>
    <col min="6657" max="6657" width="2.140625" customWidth="1"/>
    <col min="6658" max="6659" width="20.7109375" customWidth="1"/>
    <col min="6660" max="6660" width="5.5703125" customWidth="1"/>
    <col min="6661" max="6662" width="20.7109375" customWidth="1"/>
    <col min="6663" max="6663" width="5.7109375" customWidth="1"/>
    <col min="6664" max="6665" width="20.7109375" customWidth="1"/>
    <col min="6666" max="6666" width="5.7109375" customWidth="1"/>
    <col min="6667" max="6668" width="20.7109375" customWidth="1"/>
    <col min="6672" max="6672" width="9.85546875" bestFit="1" customWidth="1"/>
    <col min="6675" max="6675" width="17.85546875" customWidth="1"/>
    <col min="6676" max="6676" width="12.7109375" bestFit="1" customWidth="1"/>
    <col min="6913" max="6913" width="2.140625" customWidth="1"/>
    <col min="6914" max="6915" width="20.7109375" customWidth="1"/>
    <col min="6916" max="6916" width="5.5703125" customWidth="1"/>
    <col min="6917" max="6918" width="20.7109375" customWidth="1"/>
    <col min="6919" max="6919" width="5.7109375" customWidth="1"/>
    <col min="6920" max="6921" width="20.7109375" customWidth="1"/>
    <col min="6922" max="6922" width="5.7109375" customWidth="1"/>
    <col min="6923" max="6924" width="20.7109375" customWidth="1"/>
    <col min="6928" max="6928" width="9.85546875" bestFit="1" customWidth="1"/>
    <col min="6931" max="6931" width="17.85546875" customWidth="1"/>
    <col min="6932" max="6932" width="12.7109375" bestFit="1" customWidth="1"/>
    <col min="7169" max="7169" width="2.140625" customWidth="1"/>
    <col min="7170" max="7171" width="20.7109375" customWidth="1"/>
    <col min="7172" max="7172" width="5.5703125" customWidth="1"/>
    <col min="7173" max="7174" width="20.7109375" customWidth="1"/>
    <col min="7175" max="7175" width="5.7109375" customWidth="1"/>
    <col min="7176" max="7177" width="20.7109375" customWidth="1"/>
    <col min="7178" max="7178" width="5.7109375" customWidth="1"/>
    <col min="7179" max="7180" width="20.7109375" customWidth="1"/>
    <col min="7184" max="7184" width="9.85546875" bestFit="1" customWidth="1"/>
    <col min="7187" max="7187" width="17.85546875" customWidth="1"/>
    <col min="7188" max="7188" width="12.7109375" bestFit="1" customWidth="1"/>
    <col min="7425" max="7425" width="2.140625" customWidth="1"/>
    <col min="7426" max="7427" width="20.7109375" customWidth="1"/>
    <col min="7428" max="7428" width="5.5703125" customWidth="1"/>
    <col min="7429" max="7430" width="20.7109375" customWidth="1"/>
    <col min="7431" max="7431" width="5.7109375" customWidth="1"/>
    <col min="7432" max="7433" width="20.7109375" customWidth="1"/>
    <col min="7434" max="7434" width="5.7109375" customWidth="1"/>
    <col min="7435" max="7436" width="20.7109375" customWidth="1"/>
    <col min="7440" max="7440" width="9.85546875" bestFit="1" customWidth="1"/>
    <col min="7443" max="7443" width="17.85546875" customWidth="1"/>
    <col min="7444" max="7444" width="12.7109375" bestFit="1" customWidth="1"/>
    <col min="7681" max="7681" width="2.140625" customWidth="1"/>
    <col min="7682" max="7683" width="20.7109375" customWidth="1"/>
    <col min="7684" max="7684" width="5.5703125" customWidth="1"/>
    <col min="7685" max="7686" width="20.7109375" customWidth="1"/>
    <col min="7687" max="7687" width="5.7109375" customWidth="1"/>
    <col min="7688" max="7689" width="20.7109375" customWidth="1"/>
    <col min="7690" max="7690" width="5.7109375" customWidth="1"/>
    <col min="7691" max="7692" width="20.7109375" customWidth="1"/>
    <col min="7696" max="7696" width="9.85546875" bestFit="1" customWidth="1"/>
    <col min="7699" max="7699" width="17.85546875" customWidth="1"/>
    <col min="7700" max="7700" width="12.7109375" bestFit="1" customWidth="1"/>
    <col min="7937" max="7937" width="2.140625" customWidth="1"/>
    <col min="7938" max="7939" width="20.7109375" customWidth="1"/>
    <col min="7940" max="7940" width="5.5703125" customWidth="1"/>
    <col min="7941" max="7942" width="20.7109375" customWidth="1"/>
    <col min="7943" max="7943" width="5.7109375" customWidth="1"/>
    <col min="7944" max="7945" width="20.7109375" customWidth="1"/>
    <col min="7946" max="7946" width="5.7109375" customWidth="1"/>
    <col min="7947" max="7948" width="20.7109375" customWidth="1"/>
    <col min="7952" max="7952" width="9.85546875" bestFit="1" customWidth="1"/>
    <col min="7955" max="7955" width="17.85546875" customWidth="1"/>
    <col min="7956" max="7956" width="12.7109375" bestFit="1" customWidth="1"/>
    <col min="8193" max="8193" width="2.140625" customWidth="1"/>
    <col min="8194" max="8195" width="20.7109375" customWidth="1"/>
    <col min="8196" max="8196" width="5.5703125" customWidth="1"/>
    <col min="8197" max="8198" width="20.7109375" customWidth="1"/>
    <col min="8199" max="8199" width="5.7109375" customWidth="1"/>
    <col min="8200" max="8201" width="20.7109375" customWidth="1"/>
    <col min="8202" max="8202" width="5.7109375" customWidth="1"/>
    <col min="8203" max="8204" width="20.7109375" customWidth="1"/>
    <col min="8208" max="8208" width="9.85546875" bestFit="1" customWidth="1"/>
    <col min="8211" max="8211" width="17.85546875" customWidth="1"/>
    <col min="8212" max="8212" width="12.7109375" bestFit="1" customWidth="1"/>
    <col min="8449" max="8449" width="2.140625" customWidth="1"/>
    <col min="8450" max="8451" width="20.7109375" customWidth="1"/>
    <col min="8452" max="8452" width="5.5703125" customWidth="1"/>
    <col min="8453" max="8454" width="20.7109375" customWidth="1"/>
    <col min="8455" max="8455" width="5.7109375" customWidth="1"/>
    <col min="8456" max="8457" width="20.7109375" customWidth="1"/>
    <col min="8458" max="8458" width="5.7109375" customWidth="1"/>
    <col min="8459" max="8460" width="20.7109375" customWidth="1"/>
    <col min="8464" max="8464" width="9.85546875" bestFit="1" customWidth="1"/>
    <col min="8467" max="8467" width="17.85546875" customWidth="1"/>
    <col min="8468" max="8468" width="12.7109375" bestFit="1" customWidth="1"/>
    <col min="8705" max="8705" width="2.140625" customWidth="1"/>
    <col min="8706" max="8707" width="20.7109375" customWidth="1"/>
    <col min="8708" max="8708" width="5.5703125" customWidth="1"/>
    <col min="8709" max="8710" width="20.7109375" customWidth="1"/>
    <col min="8711" max="8711" width="5.7109375" customWidth="1"/>
    <col min="8712" max="8713" width="20.7109375" customWidth="1"/>
    <col min="8714" max="8714" width="5.7109375" customWidth="1"/>
    <col min="8715" max="8716" width="20.7109375" customWidth="1"/>
    <col min="8720" max="8720" width="9.85546875" bestFit="1" customWidth="1"/>
    <col min="8723" max="8723" width="17.85546875" customWidth="1"/>
    <col min="8724" max="8724" width="12.7109375" bestFit="1" customWidth="1"/>
    <col min="8961" max="8961" width="2.140625" customWidth="1"/>
    <col min="8962" max="8963" width="20.7109375" customWidth="1"/>
    <col min="8964" max="8964" width="5.5703125" customWidth="1"/>
    <col min="8965" max="8966" width="20.7109375" customWidth="1"/>
    <col min="8967" max="8967" width="5.7109375" customWidth="1"/>
    <col min="8968" max="8969" width="20.7109375" customWidth="1"/>
    <col min="8970" max="8970" width="5.7109375" customWidth="1"/>
    <col min="8971" max="8972" width="20.7109375" customWidth="1"/>
    <col min="8976" max="8976" width="9.85546875" bestFit="1" customWidth="1"/>
    <col min="8979" max="8979" width="17.85546875" customWidth="1"/>
    <col min="8980" max="8980" width="12.7109375" bestFit="1" customWidth="1"/>
    <col min="9217" max="9217" width="2.140625" customWidth="1"/>
    <col min="9218" max="9219" width="20.7109375" customWidth="1"/>
    <col min="9220" max="9220" width="5.5703125" customWidth="1"/>
    <col min="9221" max="9222" width="20.7109375" customWidth="1"/>
    <col min="9223" max="9223" width="5.7109375" customWidth="1"/>
    <col min="9224" max="9225" width="20.7109375" customWidth="1"/>
    <col min="9226" max="9226" width="5.7109375" customWidth="1"/>
    <col min="9227" max="9228" width="20.7109375" customWidth="1"/>
    <col min="9232" max="9232" width="9.85546875" bestFit="1" customWidth="1"/>
    <col min="9235" max="9235" width="17.85546875" customWidth="1"/>
    <col min="9236" max="9236" width="12.7109375" bestFit="1" customWidth="1"/>
    <col min="9473" max="9473" width="2.140625" customWidth="1"/>
    <col min="9474" max="9475" width="20.7109375" customWidth="1"/>
    <col min="9476" max="9476" width="5.5703125" customWidth="1"/>
    <col min="9477" max="9478" width="20.7109375" customWidth="1"/>
    <col min="9479" max="9479" width="5.7109375" customWidth="1"/>
    <col min="9480" max="9481" width="20.7109375" customWidth="1"/>
    <col min="9482" max="9482" width="5.7109375" customWidth="1"/>
    <col min="9483" max="9484" width="20.7109375" customWidth="1"/>
    <col min="9488" max="9488" width="9.85546875" bestFit="1" customWidth="1"/>
    <col min="9491" max="9491" width="17.85546875" customWidth="1"/>
    <col min="9492" max="9492" width="12.7109375" bestFit="1" customWidth="1"/>
    <col min="9729" max="9729" width="2.140625" customWidth="1"/>
    <col min="9730" max="9731" width="20.7109375" customWidth="1"/>
    <col min="9732" max="9732" width="5.5703125" customWidth="1"/>
    <col min="9733" max="9734" width="20.7109375" customWidth="1"/>
    <col min="9735" max="9735" width="5.7109375" customWidth="1"/>
    <col min="9736" max="9737" width="20.7109375" customWidth="1"/>
    <col min="9738" max="9738" width="5.7109375" customWidth="1"/>
    <col min="9739" max="9740" width="20.7109375" customWidth="1"/>
    <col min="9744" max="9744" width="9.85546875" bestFit="1" customWidth="1"/>
    <col min="9747" max="9747" width="17.85546875" customWidth="1"/>
    <col min="9748" max="9748" width="12.7109375" bestFit="1" customWidth="1"/>
    <col min="9985" max="9985" width="2.140625" customWidth="1"/>
    <col min="9986" max="9987" width="20.7109375" customWidth="1"/>
    <col min="9988" max="9988" width="5.5703125" customWidth="1"/>
    <col min="9989" max="9990" width="20.7109375" customWidth="1"/>
    <col min="9991" max="9991" width="5.7109375" customWidth="1"/>
    <col min="9992" max="9993" width="20.7109375" customWidth="1"/>
    <col min="9994" max="9994" width="5.7109375" customWidth="1"/>
    <col min="9995" max="9996" width="20.7109375" customWidth="1"/>
    <col min="10000" max="10000" width="9.85546875" bestFit="1" customWidth="1"/>
    <col min="10003" max="10003" width="17.85546875" customWidth="1"/>
    <col min="10004" max="10004" width="12.7109375" bestFit="1" customWidth="1"/>
    <col min="10241" max="10241" width="2.140625" customWidth="1"/>
    <col min="10242" max="10243" width="20.7109375" customWidth="1"/>
    <col min="10244" max="10244" width="5.5703125" customWidth="1"/>
    <col min="10245" max="10246" width="20.7109375" customWidth="1"/>
    <col min="10247" max="10247" width="5.7109375" customWidth="1"/>
    <col min="10248" max="10249" width="20.7109375" customWidth="1"/>
    <col min="10250" max="10250" width="5.7109375" customWidth="1"/>
    <col min="10251" max="10252" width="20.7109375" customWidth="1"/>
    <col min="10256" max="10256" width="9.85546875" bestFit="1" customWidth="1"/>
    <col min="10259" max="10259" width="17.85546875" customWidth="1"/>
    <col min="10260" max="10260" width="12.7109375" bestFit="1" customWidth="1"/>
    <col min="10497" max="10497" width="2.140625" customWidth="1"/>
    <col min="10498" max="10499" width="20.7109375" customWidth="1"/>
    <col min="10500" max="10500" width="5.5703125" customWidth="1"/>
    <col min="10501" max="10502" width="20.7109375" customWidth="1"/>
    <col min="10503" max="10503" width="5.7109375" customWidth="1"/>
    <col min="10504" max="10505" width="20.7109375" customWidth="1"/>
    <col min="10506" max="10506" width="5.7109375" customWidth="1"/>
    <col min="10507" max="10508" width="20.7109375" customWidth="1"/>
    <col min="10512" max="10512" width="9.85546875" bestFit="1" customWidth="1"/>
    <col min="10515" max="10515" width="17.85546875" customWidth="1"/>
    <col min="10516" max="10516" width="12.7109375" bestFit="1" customWidth="1"/>
    <col min="10753" max="10753" width="2.140625" customWidth="1"/>
    <col min="10754" max="10755" width="20.7109375" customWidth="1"/>
    <col min="10756" max="10756" width="5.5703125" customWidth="1"/>
    <col min="10757" max="10758" width="20.7109375" customWidth="1"/>
    <col min="10759" max="10759" width="5.7109375" customWidth="1"/>
    <col min="10760" max="10761" width="20.7109375" customWidth="1"/>
    <col min="10762" max="10762" width="5.7109375" customWidth="1"/>
    <col min="10763" max="10764" width="20.7109375" customWidth="1"/>
    <col min="10768" max="10768" width="9.85546875" bestFit="1" customWidth="1"/>
    <col min="10771" max="10771" width="17.85546875" customWidth="1"/>
    <col min="10772" max="10772" width="12.7109375" bestFit="1" customWidth="1"/>
    <col min="11009" max="11009" width="2.140625" customWidth="1"/>
    <col min="11010" max="11011" width="20.7109375" customWidth="1"/>
    <col min="11012" max="11012" width="5.5703125" customWidth="1"/>
    <col min="11013" max="11014" width="20.7109375" customWidth="1"/>
    <col min="11015" max="11015" width="5.7109375" customWidth="1"/>
    <col min="11016" max="11017" width="20.7109375" customWidth="1"/>
    <col min="11018" max="11018" width="5.7109375" customWidth="1"/>
    <col min="11019" max="11020" width="20.7109375" customWidth="1"/>
    <col min="11024" max="11024" width="9.85546875" bestFit="1" customWidth="1"/>
    <col min="11027" max="11027" width="17.85546875" customWidth="1"/>
    <col min="11028" max="11028" width="12.7109375" bestFit="1" customWidth="1"/>
    <col min="11265" max="11265" width="2.140625" customWidth="1"/>
    <col min="11266" max="11267" width="20.7109375" customWidth="1"/>
    <col min="11268" max="11268" width="5.5703125" customWidth="1"/>
    <col min="11269" max="11270" width="20.7109375" customWidth="1"/>
    <col min="11271" max="11271" width="5.7109375" customWidth="1"/>
    <col min="11272" max="11273" width="20.7109375" customWidth="1"/>
    <col min="11274" max="11274" width="5.7109375" customWidth="1"/>
    <col min="11275" max="11276" width="20.7109375" customWidth="1"/>
    <col min="11280" max="11280" width="9.85546875" bestFit="1" customWidth="1"/>
    <col min="11283" max="11283" width="17.85546875" customWidth="1"/>
    <col min="11284" max="11284" width="12.7109375" bestFit="1" customWidth="1"/>
    <col min="11521" max="11521" width="2.140625" customWidth="1"/>
    <col min="11522" max="11523" width="20.7109375" customWidth="1"/>
    <col min="11524" max="11524" width="5.5703125" customWidth="1"/>
    <col min="11525" max="11526" width="20.7109375" customWidth="1"/>
    <col min="11527" max="11527" width="5.7109375" customWidth="1"/>
    <col min="11528" max="11529" width="20.7109375" customWidth="1"/>
    <col min="11530" max="11530" width="5.7109375" customWidth="1"/>
    <col min="11531" max="11532" width="20.7109375" customWidth="1"/>
    <col min="11536" max="11536" width="9.85546875" bestFit="1" customWidth="1"/>
    <col min="11539" max="11539" width="17.85546875" customWidth="1"/>
    <col min="11540" max="11540" width="12.7109375" bestFit="1" customWidth="1"/>
    <col min="11777" max="11777" width="2.140625" customWidth="1"/>
    <col min="11778" max="11779" width="20.7109375" customWidth="1"/>
    <col min="11780" max="11780" width="5.5703125" customWidth="1"/>
    <col min="11781" max="11782" width="20.7109375" customWidth="1"/>
    <col min="11783" max="11783" width="5.7109375" customWidth="1"/>
    <col min="11784" max="11785" width="20.7109375" customWidth="1"/>
    <col min="11786" max="11786" width="5.7109375" customWidth="1"/>
    <col min="11787" max="11788" width="20.7109375" customWidth="1"/>
    <col min="11792" max="11792" width="9.85546875" bestFit="1" customWidth="1"/>
    <col min="11795" max="11795" width="17.85546875" customWidth="1"/>
    <col min="11796" max="11796" width="12.7109375" bestFit="1" customWidth="1"/>
    <col min="12033" max="12033" width="2.140625" customWidth="1"/>
    <col min="12034" max="12035" width="20.7109375" customWidth="1"/>
    <col min="12036" max="12036" width="5.5703125" customWidth="1"/>
    <col min="12037" max="12038" width="20.7109375" customWidth="1"/>
    <col min="12039" max="12039" width="5.7109375" customWidth="1"/>
    <col min="12040" max="12041" width="20.7109375" customWidth="1"/>
    <col min="12042" max="12042" width="5.7109375" customWidth="1"/>
    <col min="12043" max="12044" width="20.7109375" customWidth="1"/>
    <col min="12048" max="12048" width="9.85546875" bestFit="1" customWidth="1"/>
    <col min="12051" max="12051" width="17.85546875" customWidth="1"/>
    <col min="12052" max="12052" width="12.7109375" bestFit="1" customWidth="1"/>
    <col min="12289" max="12289" width="2.140625" customWidth="1"/>
    <col min="12290" max="12291" width="20.7109375" customWidth="1"/>
    <col min="12292" max="12292" width="5.5703125" customWidth="1"/>
    <col min="12293" max="12294" width="20.7109375" customWidth="1"/>
    <col min="12295" max="12295" width="5.7109375" customWidth="1"/>
    <col min="12296" max="12297" width="20.7109375" customWidth="1"/>
    <col min="12298" max="12298" width="5.7109375" customWidth="1"/>
    <col min="12299" max="12300" width="20.7109375" customWidth="1"/>
    <col min="12304" max="12304" width="9.85546875" bestFit="1" customWidth="1"/>
    <col min="12307" max="12307" width="17.85546875" customWidth="1"/>
    <col min="12308" max="12308" width="12.7109375" bestFit="1" customWidth="1"/>
    <col min="12545" max="12545" width="2.140625" customWidth="1"/>
    <col min="12546" max="12547" width="20.7109375" customWidth="1"/>
    <col min="12548" max="12548" width="5.5703125" customWidth="1"/>
    <col min="12549" max="12550" width="20.7109375" customWidth="1"/>
    <col min="12551" max="12551" width="5.7109375" customWidth="1"/>
    <col min="12552" max="12553" width="20.7109375" customWidth="1"/>
    <col min="12554" max="12554" width="5.7109375" customWidth="1"/>
    <col min="12555" max="12556" width="20.7109375" customWidth="1"/>
    <col min="12560" max="12560" width="9.85546875" bestFit="1" customWidth="1"/>
    <col min="12563" max="12563" width="17.85546875" customWidth="1"/>
    <col min="12564" max="12564" width="12.7109375" bestFit="1" customWidth="1"/>
    <col min="12801" max="12801" width="2.140625" customWidth="1"/>
    <col min="12802" max="12803" width="20.7109375" customWidth="1"/>
    <col min="12804" max="12804" width="5.5703125" customWidth="1"/>
    <col min="12805" max="12806" width="20.7109375" customWidth="1"/>
    <col min="12807" max="12807" width="5.7109375" customWidth="1"/>
    <col min="12808" max="12809" width="20.7109375" customWidth="1"/>
    <col min="12810" max="12810" width="5.7109375" customWidth="1"/>
    <col min="12811" max="12812" width="20.7109375" customWidth="1"/>
    <col min="12816" max="12816" width="9.85546875" bestFit="1" customWidth="1"/>
    <col min="12819" max="12819" width="17.85546875" customWidth="1"/>
    <col min="12820" max="12820" width="12.7109375" bestFit="1" customWidth="1"/>
    <col min="13057" max="13057" width="2.140625" customWidth="1"/>
    <col min="13058" max="13059" width="20.7109375" customWidth="1"/>
    <col min="13060" max="13060" width="5.5703125" customWidth="1"/>
    <col min="13061" max="13062" width="20.7109375" customWidth="1"/>
    <col min="13063" max="13063" width="5.7109375" customWidth="1"/>
    <col min="13064" max="13065" width="20.7109375" customWidth="1"/>
    <col min="13066" max="13066" width="5.7109375" customWidth="1"/>
    <col min="13067" max="13068" width="20.7109375" customWidth="1"/>
    <col min="13072" max="13072" width="9.85546875" bestFit="1" customWidth="1"/>
    <col min="13075" max="13075" width="17.85546875" customWidth="1"/>
    <col min="13076" max="13076" width="12.7109375" bestFit="1" customWidth="1"/>
    <col min="13313" max="13313" width="2.140625" customWidth="1"/>
    <col min="13314" max="13315" width="20.7109375" customWidth="1"/>
    <col min="13316" max="13316" width="5.5703125" customWidth="1"/>
    <col min="13317" max="13318" width="20.7109375" customWidth="1"/>
    <col min="13319" max="13319" width="5.7109375" customWidth="1"/>
    <col min="13320" max="13321" width="20.7109375" customWidth="1"/>
    <col min="13322" max="13322" width="5.7109375" customWidth="1"/>
    <col min="13323" max="13324" width="20.7109375" customWidth="1"/>
    <col min="13328" max="13328" width="9.85546875" bestFit="1" customWidth="1"/>
    <col min="13331" max="13331" width="17.85546875" customWidth="1"/>
    <col min="13332" max="13332" width="12.7109375" bestFit="1" customWidth="1"/>
    <col min="13569" max="13569" width="2.140625" customWidth="1"/>
    <col min="13570" max="13571" width="20.7109375" customWidth="1"/>
    <col min="13572" max="13572" width="5.5703125" customWidth="1"/>
    <col min="13573" max="13574" width="20.7109375" customWidth="1"/>
    <col min="13575" max="13575" width="5.7109375" customWidth="1"/>
    <col min="13576" max="13577" width="20.7109375" customWidth="1"/>
    <col min="13578" max="13578" width="5.7109375" customWidth="1"/>
    <col min="13579" max="13580" width="20.7109375" customWidth="1"/>
    <col min="13584" max="13584" width="9.85546875" bestFit="1" customWidth="1"/>
    <col min="13587" max="13587" width="17.85546875" customWidth="1"/>
    <col min="13588" max="13588" width="12.7109375" bestFit="1" customWidth="1"/>
    <col min="13825" max="13825" width="2.140625" customWidth="1"/>
    <col min="13826" max="13827" width="20.7109375" customWidth="1"/>
    <col min="13828" max="13828" width="5.5703125" customWidth="1"/>
    <col min="13829" max="13830" width="20.7109375" customWidth="1"/>
    <col min="13831" max="13831" width="5.7109375" customWidth="1"/>
    <col min="13832" max="13833" width="20.7109375" customWidth="1"/>
    <col min="13834" max="13834" width="5.7109375" customWidth="1"/>
    <col min="13835" max="13836" width="20.7109375" customWidth="1"/>
    <col min="13840" max="13840" width="9.85546875" bestFit="1" customWidth="1"/>
    <col min="13843" max="13843" width="17.85546875" customWidth="1"/>
    <col min="13844" max="13844" width="12.7109375" bestFit="1" customWidth="1"/>
    <col min="14081" max="14081" width="2.140625" customWidth="1"/>
    <col min="14082" max="14083" width="20.7109375" customWidth="1"/>
    <col min="14084" max="14084" width="5.5703125" customWidth="1"/>
    <col min="14085" max="14086" width="20.7109375" customWidth="1"/>
    <col min="14087" max="14087" width="5.7109375" customWidth="1"/>
    <col min="14088" max="14089" width="20.7109375" customWidth="1"/>
    <col min="14090" max="14090" width="5.7109375" customWidth="1"/>
    <col min="14091" max="14092" width="20.7109375" customWidth="1"/>
    <col min="14096" max="14096" width="9.85546875" bestFit="1" customWidth="1"/>
    <col min="14099" max="14099" width="17.85546875" customWidth="1"/>
    <col min="14100" max="14100" width="12.7109375" bestFit="1" customWidth="1"/>
    <col min="14337" max="14337" width="2.140625" customWidth="1"/>
    <col min="14338" max="14339" width="20.7109375" customWidth="1"/>
    <col min="14340" max="14340" width="5.5703125" customWidth="1"/>
    <col min="14341" max="14342" width="20.7109375" customWidth="1"/>
    <col min="14343" max="14343" width="5.7109375" customWidth="1"/>
    <col min="14344" max="14345" width="20.7109375" customWidth="1"/>
    <col min="14346" max="14346" width="5.7109375" customWidth="1"/>
    <col min="14347" max="14348" width="20.7109375" customWidth="1"/>
    <col min="14352" max="14352" width="9.85546875" bestFit="1" customWidth="1"/>
    <col min="14355" max="14355" width="17.85546875" customWidth="1"/>
    <col min="14356" max="14356" width="12.7109375" bestFit="1" customWidth="1"/>
    <col min="14593" max="14593" width="2.140625" customWidth="1"/>
    <col min="14594" max="14595" width="20.7109375" customWidth="1"/>
    <col min="14596" max="14596" width="5.5703125" customWidth="1"/>
    <col min="14597" max="14598" width="20.7109375" customWidth="1"/>
    <col min="14599" max="14599" width="5.7109375" customWidth="1"/>
    <col min="14600" max="14601" width="20.7109375" customWidth="1"/>
    <col min="14602" max="14602" width="5.7109375" customWidth="1"/>
    <col min="14603" max="14604" width="20.7109375" customWidth="1"/>
    <col min="14608" max="14608" width="9.85546875" bestFit="1" customWidth="1"/>
    <col min="14611" max="14611" width="17.85546875" customWidth="1"/>
    <col min="14612" max="14612" width="12.7109375" bestFit="1" customWidth="1"/>
    <col min="14849" max="14849" width="2.140625" customWidth="1"/>
    <col min="14850" max="14851" width="20.7109375" customWidth="1"/>
    <col min="14852" max="14852" width="5.5703125" customWidth="1"/>
    <col min="14853" max="14854" width="20.7109375" customWidth="1"/>
    <col min="14855" max="14855" width="5.7109375" customWidth="1"/>
    <col min="14856" max="14857" width="20.7109375" customWidth="1"/>
    <col min="14858" max="14858" width="5.7109375" customWidth="1"/>
    <col min="14859" max="14860" width="20.7109375" customWidth="1"/>
    <col min="14864" max="14864" width="9.85546875" bestFit="1" customWidth="1"/>
    <col min="14867" max="14867" width="17.85546875" customWidth="1"/>
    <col min="14868" max="14868" width="12.7109375" bestFit="1" customWidth="1"/>
    <col min="15105" max="15105" width="2.140625" customWidth="1"/>
    <col min="15106" max="15107" width="20.7109375" customWidth="1"/>
    <col min="15108" max="15108" width="5.5703125" customWidth="1"/>
    <col min="15109" max="15110" width="20.7109375" customWidth="1"/>
    <col min="15111" max="15111" width="5.7109375" customWidth="1"/>
    <col min="15112" max="15113" width="20.7109375" customWidth="1"/>
    <col min="15114" max="15114" width="5.7109375" customWidth="1"/>
    <col min="15115" max="15116" width="20.7109375" customWidth="1"/>
    <col min="15120" max="15120" width="9.85546875" bestFit="1" customWidth="1"/>
    <col min="15123" max="15123" width="17.85546875" customWidth="1"/>
    <col min="15124" max="15124" width="12.7109375" bestFit="1" customWidth="1"/>
    <col min="15361" max="15361" width="2.140625" customWidth="1"/>
    <col min="15362" max="15363" width="20.7109375" customWidth="1"/>
    <col min="15364" max="15364" width="5.5703125" customWidth="1"/>
    <col min="15365" max="15366" width="20.7109375" customWidth="1"/>
    <col min="15367" max="15367" width="5.7109375" customWidth="1"/>
    <col min="15368" max="15369" width="20.7109375" customWidth="1"/>
    <col min="15370" max="15370" width="5.7109375" customWidth="1"/>
    <col min="15371" max="15372" width="20.7109375" customWidth="1"/>
    <col min="15376" max="15376" width="9.85546875" bestFit="1" customWidth="1"/>
    <col min="15379" max="15379" width="17.85546875" customWidth="1"/>
    <col min="15380" max="15380" width="12.7109375" bestFit="1" customWidth="1"/>
    <col min="15617" max="15617" width="2.140625" customWidth="1"/>
    <col min="15618" max="15619" width="20.7109375" customWidth="1"/>
    <col min="15620" max="15620" width="5.5703125" customWidth="1"/>
    <col min="15621" max="15622" width="20.7109375" customWidth="1"/>
    <col min="15623" max="15623" width="5.7109375" customWidth="1"/>
    <col min="15624" max="15625" width="20.7109375" customWidth="1"/>
    <col min="15626" max="15626" width="5.7109375" customWidth="1"/>
    <col min="15627" max="15628" width="20.7109375" customWidth="1"/>
    <col min="15632" max="15632" width="9.85546875" bestFit="1" customWidth="1"/>
    <col min="15635" max="15635" width="17.85546875" customWidth="1"/>
    <col min="15636" max="15636" width="12.7109375" bestFit="1" customWidth="1"/>
    <col min="15873" max="15873" width="2.140625" customWidth="1"/>
    <col min="15874" max="15875" width="20.7109375" customWidth="1"/>
    <col min="15876" max="15876" width="5.5703125" customWidth="1"/>
    <col min="15877" max="15878" width="20.7109375" customWidth="1"/>
    <col min="15879" max="15879" width="5.7109375" customWidth="1"/>
    <col min="15880" max="15881" width="20.7109375" customWidth="1"/>
    <col min="15882" max="15882" width="5.7109375" customWidth="1"/>
    <col min="15883" max="15884" width="20.7109375" customWidth="1"/>
    <col min="15888" max="15888" width="9.85546875" bestFit="1" customWidth="1"/>
    <col min="15891" max="15891" width="17.85546875" customWidth="1"/>
    <col min="15892" max="15892" width="12.7109375" bestFit="1" customWidth="1"/>
    <col min="16129" max="16129" width="2.140625" customWidth="1"/>
    <col min="16130" max="16131" width="20.7109375" customWidth="1"/>
    <col min="16132" max="16132" width="5.5703125" customWidth="1"/>
    <col min="16133" max="16134" width="20.7109375" customWidth="1"/>
    <col min="16135" max="16135" width="5.7109375" customWidth="1"/>
    <col min="16136" max="16137" width="20.7109375" customWidth="1"/>
    <col min="16138" max="16138" width="5.7109375" customWidth="1"/>
    <col min="16139" max="16140" width="20.7109375" customWidth="1"/>
    <col min="16144" max="16144" width="9.85546875" bestFit="1" customWidth="1"/>
    <col min="16147" max="16147" width="17.85546875" customWidth="1"/>
    <col min="16148" max="16148" width="12.7109375" bestFit="1" customWidth="1"/>
  </cols>
  <sheetData>
    <row r="1" spans="2:35" s="42" customFormat="1" ht="21" customHeight="1" x14ac:dyDescent="0.25">
      <c r="B1" s="469" t="s">
        <v>58</v>
      </c>
      <c r="C1" s="469"/>
      <c r="D1" s="469"/>
      <c r="E1" s="469"/>
      <c r="F1" s="469"/>
      <c r="G1" s="469"/>
      <c r="H1" s="469"/>
      <c r="I1" s="469"/>
      <c r="J1" s="469"/>
      <c r="K1" s="469"/>
      <c r="L1" s="469"/>
    </row>
    <row r="2" spans="2:35" s="42" customFormat="1" ht="21" customHeight="1" x14ac:dyDescent="0.25">
      <c r="B2" s="469" t="s">
        <v>59</v>
      </c>
      <c r="C2" s="469"/>
      <c r="D2" s="469"/>
      <c r="E2" s="469"/>
      <c r="F2" s="469"/>
      <c r="G2" s="469"/>
      <c r="H2" s="469"/>
      <c r="I2" s="469"/>
      <c r="J2" s="469"/>
      <c r="K2" s="469"/>
      <c r="L2" s="469"/>
      <c r="O2" s="42" t="s">
        <v>60</v>
      </c>
      <c r="AC2" s="42" t="s">
        <v>61</v>
      </c>
      <c r="AI2" s="42" t="s">
        <v>62</v>
      </c>
    </row>
    <row r="3" spans="2:35" s="42" customFormat="1" ht="16.5" customHeight="1" thickBot="1" x14ac:dyDescent="0.3">
      <c r="B3" s="86"/>
      <c r="C3" s="86"/>
      <c r="D3" s="86"/>
      <c r="E3" s="86"/>
      <c r="F3" s="86"/>
      <c r="H3" s="86"/>
      <c r="I3" s="86"/>
      <c r="S3" s="42" t="s">
        <v>63</v>
      </c>
      <c r="AD3" s="87"/>
      <c r="AE3" s="88"/>
      <c r="AI3" s="42">
        <v>12</v>
      </c>
    </row>
    <row r="4" spans="2:35" s="42" customFormat="1" ht="21.75" thickBot="1" x14ac:dyDescent="0.4">
      <c r="B4" s="89" t="s">
        <v>64</v>
      </c>
      <c r="C4" s="90" t="s">
        <v>65</v>
      </c>
      <c r="E4" s="89" t="s">
        <v>64</v>
      </c>
      <c r="F4" s="90" t="s">
        <v>65</v>
      </c>
      <c r="H4" s="89" t="s">
        <v>64</v>
      </c>
      <c r="I4" s="90" t="s">
        <v>65</v>
      </c>
      <c r="K4" s="89" t="s">
        <v>64</v>
      </c>
      <c r="L4" s="90" t="s">
        <v>65</v>
      </c>
      <c r="O4" s="89" t="s">
        <v>64</v>
      </c>
      <c r="P4" s="90" t="s">
        <v>65</v>
      </c>
      <c r="S4" s="42" t="s">
        <v>66</v>
      </c>
      <c r="T4" s="42" t="s">
        <v>67</v>
      </c>
      <c r="AD4" s="87" t="s">
        <v>68</v>
      </c>
      <c r="AE4" s="88">
        <f>1.312</f>
        <v>1.3120000000000001</v>
      </c>
      <c r="AI4" s="42">
        <v>24</v>
      </c>
    </row>
    <row r="5" spans="2:35" s="42" customFormat="1" ht="21.75" thickTop="1" x14ac:dyDescent="0.35">
      <c r="B5" s="91">
        <v>0</v>
      </c>
      <c r="C5" s="92">
        <f t="shared" ref="C5:C34" si="0">0.858*B5^3-0.78*B5^2+0.774*B5+0.04</f>
        <v>0.04</v>
      </c>
      <c r="E5" s="91">
        <v>0.3</v>
      </c>
      <c r="F5" s="92">
        <f t="shared" ref="F5:F34" si="1">0.858*E5^3-0.78*E5^2+0.774*E5+0.04</f>
        <v>0.22516600000000001</v>
      </c>
      <c r="H5" s="91">
        <v>0.6</v>
      </c>
      <c r="I5" s="92">
        <f t="shared" ref="I5:I34" si="2">0.858*H5^3-0.78*H5^2+0.774*H5+0.04</f>
        <v>0.40892799999999996</v>
      </c>
      <c r="K5" s="91">
        <v>0.9</v>
      </c>
      <c r="L5" s="92">
        <f t="shared" ref="L5:L15" si="3">0.858*K5^3-0.78*K5^2+0.774*K5+0.04</f>
        <v>0.7302820000000001</v>
      </c>
      <c r="O5" s="91">
        <v>0</v>
      </c>
      <c r="P5" s="93">
        <f t="shared" ref="P5:P68" si="4">0.858*O5^3-0.78*O5^2+0.774*O5+0.04</f>
        <v>0.04</v>
      </c>
      <c r="S5">
        <v>0</v>
      </c>
      <c r="T5">
        <v>0</v>
      </c>
      <c r="U5">
        <f>0.16/25</f>
        <v>6.4000000000000003E-3</v>
      </c>
      <c r="AD5" s="87" t="s">
        <v>69</v>
      </c>
      <c r="AE5" s="88">
        <f>1.582</f>
        <v>1.5820000000000001</v>
      </c>
      <c r="AI5" s="42">
        <v>48</v>
      </c>
    </row>
    <row r="6" spans="2:35" s="42" customFormat="1" ht="21" x14ac:dyDescent="0.35">
      <c r="B6" s="91">
        <v>0.01</v>
      </c>
      <c r="C6" s="92">
        <f t="shared" si="0"/>
        <v>4.7662858000000002E-2</v>
      </c>
      <c r="E6" s="91">
        <v>0.31</v>
      </c>
      <c r="F6" s="92">
        <f>(0.858*E6^3)-(0.78*E6^2)+(0.774*E6)+0.04</f>
        <v>0.23054267800000003</v>
      </c>
      <c r="H6" s="91">
        <v>0.61</v>
      </c>
      <c r="I6" s="92">
        <f t="shared" si="2"/>
        <v>0.41665169799999996</v>
      </c>
      <c r="K6" s="91">
        <v>0.91</v>
      </c>
      <c r="L6" s="92">
        <f t="shared" si="3"/>
        <v>0.74498591800000014</v>
      </c>
      <c r="O6" s="91">
        <v>0.01</v>
      </c>
      <c r="P6" s="93">
        <f t="shared" si="4"/>
        <v>4.7662858000000002E-2</v>
      </c>
      <c r="S6">
        <v>0.01</v>
      </c>
      <c r="T6">
        <f>T5+$U$5</f>
        <v>6.4000000000000003E-3</v>
      </c>
      <c r="U6"/>
      <c r="AD6" s="87" t="s">
        <v>70</v>
      </c>
      <c r="AE6" s="88">
        <v>1.9630000000000001</v>
      </c>
    </row>
    <row r="7" spans="2:35" s="42" customFormat="1" ht="21" x14ac:dyDescent="0.35">
      <c r="B7" s="91">
        <v>0.02</v>
      </c>
      <c r="C7" s="92">
        <f t="shared" si="0"/>
        <v>5.5174864000000004E-2</v>
      </c>
      <c r="E7" s="91">
        <v>0.32</v>
      </c>
      <c r="F7" s="92">
        <f>(0.858*E7^3)-(0.78*E7^2)+(0.774*E7)+0.04</f>
        <v>0.235922944</v>
      </c>
      <c r="H7" s="91">
        <v>0.62</v>
      </c>
      <c r="I7" s="92">
        <f t="shared" si="2"/>
        <v>0.42453342399999999</v>
      </c>
      <c r="K7" s="91">
        <v>0.92</v>
      </c>
      <c r="L7" s="92">
        <f t="shared" si="3"/>
        <v>0.76000230400000013</v>
      </c>
      <c r="O7" s="91">
        <v>0.02</v>
      </c>
      <c r="P7" s="93">
        <f t="shared" si="4"/>
        <v>5.5174864000000004E-2</v>
      </c>
      <c r="S7">
        <v>0.02</v>
      </c>
      <c r="T7">
        <f t="shared" ref="T7:T29" si="5">T6+$U$5</f>
        <v>1.2800000000000001E-2</v>
      </c>
      <c r="U7"/>
      <c r="AD7" s="87" t="s">
        <v>71</v>
      </c>
      <c r="AE7" s="88">
        <v>0.55000000000000004</v>
      </c>
    </row>
    <row r="8" spans="2:35" s="42" customFormat="1" ht="18" x14ac:dyDescent="0.25">
      <c r="B8" s="91">
        <v>0.03</v>
      </c>
      <c r="C8" s="92">
        <f t="shared" si="0"/>
        <v>6.2541166000000009E-2</v>
      </c>
      <c r="E8" s="91">
        <v>0.33</v>
      </c>
      <c r="F8" s="92">
        <f t="shared" si="1"/>
        <v>0.24131194600000003</v>
      </c>
      <c r="H8" s="91">
        <v>0.63</v>
      </c>
      <c r="I8" s="92">
        <f t="shared" si="2"/>
        <v>0.43257832599999996</v>
      </c>
      <c r="K8" s="91">
        <v>0.93</v>
      </c>
      <c r="L8" s="92">
        <f t="shared" si="3"/>
        <v>0.77533630599999992</v>
      </c>
      <c r="O8" s="91">
        <v>0.03</v>
      </c>
      <c r="P8" s="93">
        <f t="shared" si="4"/>
        <v>6.2541166000000009E-2</v>
      </c>
      <c r="S8">
        <v>0.03</v>
      </c>
      <c r="T8">
        <f t="shared" si="5"/>
        <v>1.9200000000000002E-2</v>
      </c>
      <c r="U8"/>
    </row>
    <row r="9" spans="2:35" s="42" customFormat="1" ht="18" x14ac:dyDescent="0.25">
      <c r="B9" s="91">
        <v>0.04</v>
      </c>
      <c r="C9" s="92">
        <f t="shared" si="0"/>
        <v>6.9766912E-2</v>
      </c>
      <c r="E9" s="91">
        <v>0.34</v>
      </c>
      <c r="F9" s="92">
        <f t="shared" si="1"/>
        <v>0.246714832</v>
      </c>
      <c r="H9" s="91">
        <v>0.64</v>
      </c>
      <c r="I9" s="92">
        <f t="shared" si="2"/>
        <v>0.44079155199999998</v>
      </c>
      <c r="K9" s="91">
        <v>0.94</v>
      </c>
      <c r="L9" s="92">
        <f t="shared" si="3"/>
        <v>0.79099307200000002</v>
      </c>
      <c r="O9" s="91">
        <v>0.04</v>
      </c>
      <c r="P9" s="93">
        <f t="shared" si="4"/>
        <v>6.9766912E-2</v>
      </c>
      <c r="S9">
        <v>0.04</v>
      </c>
      <c r="T9">
        <f t="shared" si="5"/>
        <v>2.5600000000000001E-2</v>
      </c>
      <c r="U9"/>
    </row>
    <row r="10" spans="2:35" s="42" customFormat="1" ht="18" x14ac:dyDescent="0.25">
      <c r="B10" s="91">
        <v>0.05</v>
      </c>
      <c r="C10" s="92">
        <f t="shared" si="0"/>
        <v>7.6857250000000016E-2</v>
      </c>
      <c r="E10" s="91">
        <v>0.35</v>
      </c>
      <c r="F10" s="92">
        <f t="shared" si="1"/>
        <v>0.25213674999999997</v>
      </c>
      <c r="H10" s="91">
        <v>0.65</v>
      </c>
      <c r="I10" s="92">
        <f t="shared" si="2"/>
        <v>0.44917824999999995</v>
      </c>
      <c r="K10" s="91">
        <v>0.95</v>
      </c>
      <c r="L10" s="92">
        <f t="shared" si="3"/>
        <v>0.80697774999999994</v>
      </c>
      <c r="O10" s="91">
        <v>0.05</v>
      </c>
      <c r="P10" s="93">
        <f t="shared" si="4"/>
        <v>7.6857250000000016E-2</v>
      </c>
      <c r="S10">
        <v>0.05</v>
      </c>
      <c r="T10">
        <f t="shared" si="5"/>
        <v>3.2000000000000001E-2</v>
      </c>
      <c r="U10"/>
      <c r="AC10" s="42" t="s">
        <v>72</v>
      </c>
    </row>
    <row r="11" spans="2:35" s="42" customFormat="1" ht="21" x14ac:dyDescent="0.35">
      <c r="B11" s="91">
        <v>0.06</v>
      </c>
      <c r="C11" s="92">
        <f t="shared" si="0"/>
        <v>8.3817327999999997E-2</v>
      </c>
      <c r="E11" s="91">
        <v>0.36</v>
      </c>
      <c r="F11" s="92">
        <f t="shared" si="1"/>
        <v>0.25758284799999998</v>
      </c>
      <c r="H11" s="91">
        <v>0.66</v>
      </c>
      <c r="I11" s="92">
        <f t="shared" si="2"/>
        <v>0.45774356799999999</v>
      </c>
      <c r="K11" s="91">
        <v>0.96</v>
      </c>
      <c r="L11" s="92">
        <f t="shared" si="3"/>
        <v>0.82329548799999996</v>
      </c>
      <c r="O11" s="91">
        <v>0.06</v>
      </c>
      <c r="P11" s="93">
        <f t="shared" si="4"/>
        <v>8.3817327999999997E-2</v>
      </c>
      <c r="S11">
        <v>0.06</v>
      </c>
      <c r="T11">
        <f t="shared" si="5"/>
        <v>3.8400000000000004E-2</v>
      </c>
      <c r="U11"/>
      <c r="AC11" s="94" t="s">
        <v>42</v>
      </c>
      <c r="AD11" s="94" t="s">
        <v>42</v>
      </c>
      <c r="AE11" s="94" t="s">
        <v>73</v>
      </c>
      <c r="AF11" s="94" t="s">
        <v>74</v>
      </c>
      <c r="AG11" s="94" t="s">
        <v>75</v>
      </c>
      <c r="AH11" s="94" t="s">
        <v>76</v>
      </c>
    </row>
    <row r="12" spans="2:35" s="42" customFormat="1" ht="18" x14ac:dyDescent="0.25">
      <c r="B12" s="91">
        <v>7.0000000000000007E-2</v>
      </c>
      <c r="C12" s="92">
        <f t="shared" si="0"/>
        <v>9.0652294000000008E-2</v>
      </c>
      <c r="E12" s="91">
        <v>0.37</v>
      </c>
      <c r="F12" s="92">
        <f t="shared" si="1"/>
        <v>0.26305827399999998</v>
      </c>
      <c r="H12" s="91">
        <v>0.67</v>
      </c>
      <c r="I12" s="92">
        <f t="shared" si="2"/>
        <v>0.46649265400000001</v>
      </c>
      <c r="K12" s="91">
        <v>0.97</v>
      </c>
      <c r="L12" s="92">
        <f t="shared" si="3"/>
        <v>0.83995143400000005</v>
      </c>
      <c r="O12" s="91">
        <v>7.0000000000000007E-2</v>
      </c>
      <c r="P12" s="93">
        <f t="shared" si="4"/>
        <v>9.0652294000000008E-2</v>
      </c>
      <c r="S12">
        <v>7.0000000000000007E-2</v>
      </c>
      <c r="T12">
        <f t="shared" si="5"/>
        <v>4.4800000000000006E-2</v>
      </c>
      <c r="U12"/>
      <c r="AC12" s="95">
        <v>1</v>
      </c>
      <c r="AD12" s="96">
        <f t="shared" ref="AD12:AD30" si="6">AC12/100</f>
        <v>0.01</v>
      </c>
      <c r="AE12" s="96">
        <f t="shared" ref="AE12:AE30" si="7">0.858*AD12^3-0.78*AD12^2+0.774*AD12+0.04</f>
        <v>4.7662858000000002E-2</v>
      </c>
      <c r="AF12" s="96">
        <f t="shared" ref="AF12:AF30" si="8">$AE$4*AE12*$AE$7</f>
        <v>3.4393518332800008E-2</v>
      </c>
      <c r="AG12" s="96">
        <f t="shared" ref="AG12:AG30" si="9">$AE$5*AE12*$AE$7</f>
        <v>4.1471452745800011E-2</v>
      </c>
      <c r="AH12" s="96">
        <f t="shared" ref="AH12:AH30" si="10">$AE$6*AE12*$AE$7</f>
        <v>5.145920463970001E-2</v>
      </c>
    </row>
    <row r="13" spans="2:35" s="42" customFormat="1" ht="18" x14ac:dyDescent="0.25">
      <c r="B13" s="91">
        <v>0.08</v>
      </c>
      <c r="C13" s="92">
        <f t="shared" si="0"/>
        <v>9.7367295999999992E-2</v>
      </c>
      <c r="E13" s="91">
        <v>0.38</v>
      </c>
      <c r="F13" s="92">
        <f t="shared" si="1"/>
        <v>0.26856817599999999</v>
      </c>
      <c r="H13" s="91">
        <v>0.68</v>
      </c>
      <c r="I13" s="92">
        <f t="shared" si="2"/>
        <v>0.47543065599999995</v>
      </c>
      <c r="K13" s="91">
        <v>0.98</v>
      </c>
      <c r="L13" s="92">
        <f t="shared" si="3"/>
        <v>0.85695073599999994</v>
      </c>
      <c r="O13" s="91">
        <v>0.08</v>
      </c>
      <c r="P13" s="93">
        <f t="shared" si="4"/>
        <v>9.7367295999999992E-2</v>
      </c>
      <c r="S13">
        <v>0.08</v>
      </c>
      <c r="T13">
        <f t="shared" si="5"/>
        <v>5.1200000000000009E-2</v>
      </c>
      <c r="U13"/>
      <c r="AC13" s="95">
        <v>2</v>
      </c>
      <c r="AD13" s="96">
        <f t="shared" si="6"/>
        <v>0.02</v>
      </c>
      <c r="AE13" s="96">
        <f t="shared" si="7"/>
        <v>5.5174864000000004E-2</v>
      </c>
      <c r="AF13" s="96">
        <f t="shared" si="8"/>
        <v>3.9814181862400003E-2</v>
      </c>
      <c r="AG13" s="96">
        <f t="shared" si="9"/>
        <v>4.8007649166400004E-2</v>
      </c>
      <c r="AH13" s="96">
        <f t="shared" si="10"/>
        <v>5.9569541917600013E-2</v>
      </c>
    </row>
    <row r="14" spans="2:35" s="42" customFormat="1" ht="18" x14ac:dyDescent="0.25">
      <c r="B14" s="97">
        <v>0.09</v>
      </c>
      <c r="C14" s="98">
        <f t="shared" si="0"/>
        <v>0.103967482</v>
      </c>
      <c r="E14" s="97">
        <v>0.39</v>
      </c>
      <c r="F14" s="98">
        <f t="shared" si="1"/>
        <v>0.27411770200000002</v>
      </c>
      <c r="H14" s="97">
        <v>0.69</v>
      </c>
      <c r="I14" s="98">
        <f t="shared" si="2"/>
        <v>0.48456272199999995</v>
      </c>
      <c r="K14" s="91">
        <v>0.99</v>
      </c>
      <c r="L14" s="92">
        <f t="shared" si="3"/>
        <v>0.87429854200000001</v>
      </c>
      <c r="O14" s="97">
        <v>0.09</v>
      </c>
      <c r="P14" s="99">
        <f t="shared" si="4"/>
        <v>0.103967482</v>
      </c>
      <c r="S14">
        <v>0.09</v>
      </c>
      <c r="T14">
        <f t="shared" si="5"/>
        <v>5.7600000000000012E-2</v>
      </c>
      <c r="U14"/>
      <c r="AC14" s="95">
        <v>3</v>
      </c>
      <c r="AD14" s="96">
        <f t="shared" si="6"/>
        <v>0.03</v>
      </c>
      <c r="AE14" s="96">
        <f t="shared" si="7"/>
        <v>6.2541166000000009E-2</v>
      </c>
      <c r="AF14" s="96">
        <f t="shared" si="8"/>
        <v>4.5129705385600016E-2</v>
      </c>
      <c r="AG14" s="96">
        <f t="shared" si="9"/>
        <v>5.441706853660002E-2</v>
      </c>
      <c r="AH14" s="96">
        <f t="shared" si="10"/>
        <v>6.7522569871900015E-2</v>
      </c>
    </row>
    <row r="15" spans="2:35" s="42" customFormat="1" ht="18.75" thickBot="1" x14ac:dyDescent="0.3">
      <c r="B15" s="91">
        <v>0.1</v>
      </c>
      <c r="C15" s="92">
        <f t="shared" si="0"/>
        <v>0.110458</v>
      </c>
      <c r="E15" s="91">
        <v>0.4</v>
      </c>
      <c r="F15" s="92">
        <f t="shared" si="1"/>
        <v>0.27971200000000002</v>
      </c>
      <c r="H15" s="91">
        <v>0.7</v>
      </c>
      <c r="I15" s="92">
        <f t="shared" si="2"/>
        <v>0.49389399999999989</v>
      </c>
      <c r="K15" s="100">
        <v>1</v>
      </c>
      <c r="L15" s="101">
        <f t="shared" si="3"/>
        <v>0.89200000000000002</v>
      </c>
      <c r="O15" s="91">
        <v>0.1</v>
      </c>
      <c r="P15" s="93">
        <f t="shared" si="4"/>
        <v>0.110458</v>
      </c>
      <c r="S15">
        <v>0.1</v>
      </c>
      <c r="T15">
        <f t="shared" si="5"/>
        <v>6.4000000000000015E-2</v>
      </c>
      <c r="U15"/>
      <c r="AC15" s="95">
        <v>4</v>
      </c>
      <c r="AD15" s="96">
        <f t="shared" si="6"/>
        <v>0.04</v>
      </c>
      <c r="AE15" s="96">
        <f t="shared" si="7"/>
        <v>6.9766912E-2</v>
      </c>
      <c r="AF15" s="96">
        <f t="shared" si="8"/>
        <v>5.0343803699200003E-2</v>
      </c>
      <c r="AG15" s="96">
        <f t="shared" si="9"/>
        <v>6.0704190131200007E-2</v>
      </c>
      <c r="AH15" s="96">
        <f t="shared" si="10"/>
        <v>7.5323846540800002E-2</v>
      </c>
    </row>
    <row r="16" spans="2:35" s="42" customFormat="1" ht="18" x14ac:dyDescent="0.25">
      <c r="B16" s="91">
        <v>0.11</v>
      </c>
      <c r="C16" s="92">
        <f t="shared" si="0"/>
        <v>0.116843998</v>
      </c>
      <c r="E16" s="91">
        <v>0.41</v>
      </c>
      <c r="F16" s="92">
        <f t="shared" si="1"/>
        <v>0.28535621799999999</v>
      </c>
      <c r="H16" s="91">
        <v>0.71</v>
      </c>
      <c r="I16" s="92">
        <f t="shared" si="2"/>
        <v>0.50342963800000007</v>
      </c>
      <c r="O16" s="91">
        <v>0.11</v>
      </c>
      <c r="P16" s="93">
        <f t="shared" si="4"/>
        <v>0.116843998</v>
      </c>
      <c r="S16">
        <v>0.11</v>
      </c>
      <c r="T16">
        <f t="shared" si="5"/>
        <v>7.0400000000000018E-2</v>
      </c>
      <c r="U16"/>
      <c r="AC16" s="95">
        <v>5</v>
      </c>
      <c r="AD16" s="96">
        <f t="shared" si="6"/>
        <v>0.05</v>
      </c>
      <c r="AE16" s="96">
        <f t="shared" si="7"/>
        <v>7.6857250000000016E-2</v>
      </c>
      <c r="AF16" s="96">
        <f t="shared" si="8"/>
        <v>5.5460191600000014E-2</v>
      </c>
      <c r="AG16" s="96">
        <f t="shared" si="9"/>
        <v>6.6873493225000025E-2</v>
      </c>
      <c r="AH16" s="96">
        <f t="shared" si="10"/>
        <v>8.2978929962500031E-2</v>
      </c>
    </row>
    <row r="17" spans="2:34" s="42" customFormat="1" ht="18" x14ac:dyDescent="0.25">
      <c r="B17" s="91">
        <v>0.12</v>
      </c>
      <c r="C17" s="92">
        <f t="shared" si="0"/>
        <v>0.12313062399999999</v>
      </c>
      <c r="E17" s="91">
        <v>0.42</v>
      </c>
      <c r="F17" s="92">
        <f t="shared" si="1"/>
        <v>0.29105550399999996</v>
      </c>
      <c r="H17" s="91">
        <v>0.72</v>
      </c>
      <c r="I17" s="92">
        <f t="shared" si="2"/>
        <v>0.51317478399999994</v>
      </c>
      <c r="O17" s="91">
        <v>0.12</v>
      </c>
      <c r="P17" s="93">
        <f t="shared" si="4"/>
        <v>0.12313062399999999</v>
      </c>
      <c r="S17">
        <v>0.12</v>
      </c>
      <c r="T17">
        <f>T16+$U$5</f>
        <v>7.6800000000000021E-2</v>
      </c>
      <c r="U17"/>
      <c r="AC17" s="95">
        <v>6</v>
      </c>
      <c r="AD17" s="96">
        <f t="shared" si="6"/>
        <v>0.06</v>
      </c>
      <c r="AE17" s="96">
        <f t="shared" si="7"/>
        <v>8.3817327999999997E-2</v>
      </c>
      <c r="AF17" s="96">
        <f t="shared" si="8"/>
        <v>6.0482583884800011E-2</v>
      </c>
      <c r="AG17" s="96">
        <f t="shared" si="9"/>
        <v>7.2929457092800007E-2</v>
      </c>
      <c r="AH17" s="96">
        <f t="shared" si="10"/>
        <v>9.0493378175200007E-2</v>
      </c>
    </row>
    <row r="18" spans="2:34" s="42" customFormat="1" ht="18" x14ac:dyDescent="0.25">
      <c r="B18" s="91">
        <v>0.13</v>
      </c>
      <c r="C18" s="92">
        <f t="shared" si="0"/>
        <v>0.12932302600000001</v>
      </c>
      <c r="E18" s="91">
        <v>0.43</v>
      </c>
      <c r="F18" s="92">
        <f t="shared" si="1"/>
        <v>0.29681500599999999</v>
      </c>
      <c r="H18" s="91">
        <v>0.73</v>
      </c>
      <c r="I18" s="92">
        <f t="shared" si="2"/>
        <v>0.52313458599999996</v>
      </c>
      <c r="O18" s="91">
        <v>0.13</v>
      </c>
      <c r="P18" s="93">
        <f t="shared" si="4"/>
        <v>0.12932302600000001</v>
      </c>
      <c r="S18">
        <v>0.13</v>
      </c>
      <c r="T18">
        <f t="shared" si="5"/>
        <v>8.3200000000000024E-2</v>
      </c>
      <c r="U18"/>
      <c r="AC18" s="95">
        <v>7</v>
      </c>
      <c r="AD18" s="96">
        <f t="shared" si="6"/>
        <v>7.0000000000000007E-2</v>
      </c>
      <c r="AE18" s="96">
        <f t="shared" si="7"/>
        <v>9.0652294000000008E-2</v>
      </c>
      <c r="AF18" s="96">
        <f t="shared" si="8"/>
        <v>6.5414695350400009E-2</v>
      </c>
      <c r="AG18" s="96">
        <f t="shared" si="9"/>
        <v>7.887656100940002E-2</v>
      </c>
      <c r="AH18" s="96">
        <f t="shared" si="10"/>
        <v>9.7872749217100027E-2</v>
      </c>
    </row>
    <row r="19" spans="2:34" s="42" customFormat="1" ht="18" x14ac:dyDescent="0.25">
      <c r="B19" s="91">
        <v>0.14000000000000001</v>
      </c>
      <c r="C19" s="92">
        <f t="shared" si="0"/>
        <v>0.135426352</v>
      </c>
      <c r="E19" s="91">
        <v>0.44</v>
      </c>
      <c r="F19" s="92">
        <f t="shared" si="1"/>
        <v>0.30263987200000003</v>
      </c>
      <c r="H19" s="91">
        <v>0.74</v>
      </c>
      <c r="I19" s="92">
        <f t="shared" si="2"/>
        <v>0.53331419199999996</v>
      </c>
      <c r="O19" s="91">
        <v>0.14000000000000001</v>
      </c>
      <c r="P19" s="93">
        <f t="shared" si="4"/>
        <v>0.135426352</v>
      </c>
      <c r="S19">
        <v>0.14000000000000001</v>
      </c>
      <c r="T19">
        <f t="shared" si="5"/>
        <v>8.9600000000000027E-2</v>
      </c>
      <c r="U19"/>
      <c r="AC19" s="95">
        <v>8</v>
      </c>
      <c r="AD19" s="96">
        <f t="shared" si="6"/>
        <v>0.08</v>
      </c>
      <c r="AE19" s="96">
        <f t="shared" si="7"/>
        <v>9.7367295999999992E-2</v>
      </c>
      <c r="AF19" s="96">
        <f t="shared" si="8"/>
        <v>7.0260240793599993E-2</v>
      </c>
      <c r="AG19" s="96">
        <f t="shared" si="9"/>
        <v>8.4719284249600013E-2</v>
      </c>
      <c r="AH19" s="96">
        <f t="shared" si="10"/>
        <v>0.1051226011264</v>
      </c>
    </row>
    <row r="20" spans="2:34" s="42" customFormat="1" ht="18" x14ac:dyDescent="0.25">
      <c r="B20" s="91">
        <v>0.15</v>
      </c>
      <c r="C20" s="92">
        <f t="shared" si="0"/>
        <v>0.14144575000000001</v>
      </c>
      <c r="E20" s="91">
        <v>0.45</v>
      </c>
      <c r="F20" s="92">
        <f t="shared" si="1"/>
        <v>0.30853524999999998</v>
      </c>
      <c r="H20" s="91">
        <v>0.75</v>
      </c>
      <c r="I20" s="92">
        <f t="shared" si="2"/>
        <v>0.54371875000000003</v>
      </c>
      <c r="O20" s="91">
        <v>0.15</v>
      </c>
      <c r="P20" s="93">
        <f t="shared" si="4"/>
        <v>0.14144575000000001</v>
      </c>
      <c r="S20">
        <v>0.15</v>
      </c>
      <c r="T20">
        <f t="shared" si="5"/>
        <v>9.600000000000003E-2</v>
      </c>
      <c r="U20"/>
      <c r="AC20" s="95">
        <v>9</v>
      </c>
      <c r="AD20" s="96">
        <f t="shared" si="6"/>
        <v>0.09</v>
      </c>
      <c r="AE20" s="96">
        <f t="shared" si="7"/>
        <v>0.103967482</v>
      </c>
      <c r="AF20" s="96">
        <f t="shared" si="8"/>
        <v>7.5022935011200012E-2</v>
      </c>
      <c r="AG20" s="96">
        <f t="shared" si="9"/>
        <v>9.0462106088200017E-2</v>
      </c>
      <c r="AH20" s="96">
        <f t="shared" si="10"/>
        <v>0.11224849194130002</v>
      </c>
    </row>
    <row r="21" spans="2:34" s="42" customFormat="1" ht="18" x14ac:dyDescent="0.25">
      <c r="B21" s="91">
        <v>0.16</v>
      </c>
      <c r="C21" s="92">
        <f t="shared" si="0"/>
        <v>0.14738636800000002</v>
      </c>
      <c r="E21" s="91">
        <v>0.46</v>
      </c>
      <c r="F21" s="92">
        <f t="shared" si="1"/>
        <v>0.31450628800000002</v>
      </c>
      <c r="H21" s="91">
        <v>0.76</v>
      </c>
      <c r="I21" s="92">
        <f t="shared" si="2"/>
        <v>0.55435340799999999</v>
      </c>
      <c r="O21" s="91">
        <v>0.16</v>
      </c>
      <c r="P21" s="93">
        <f t="shared" si="4"/>
        <v>0.14738636800000002</v>
      </c>
      <c r="S21">
        <v>0.16</v>
      </c>
      <c r="T21">
        <f t="shared" si="5"/>
        <v>0.10240000000000003</v>
      </c>
      <c r="U21"/>
      <c r="AC21" s="95">
        <v>10</v>
      </c>
      <c r="AD21" s="96">
        <f t="shared" si="6"/>
        <v>0.1</v>
      </c>
      <c r="AE21" s="96">
        <f t="shared" si="7"/>
        <v>0.110458</v>
      </c>
      <c r="AF21" s="96">
        <f t="shared" si="8"/>
        <v>7.9706492800000001E-2</v>
      </c>
      <c r="AG21" s="96">
        <f t="shared" si="9"/>
        <v>9.6109505800000009E-2</v>
      </c>
      <c r="AH21" s="96">
        <f t="shared" si="10"/>
        <v>0.11925597970000001</v>
      </c>
    </row>
    <row r="22" spans="2:34" s="42" customFormat="1" ht="18" x14ac:dyDescent="0.25">
      <c r="B22" s="91">
        <v>0.17</v>
      </c>
      <c r="C22" s="92">
        <f t="shared" si="0"/>
        <v>0.15325335400000001</v>
      </c>
      <c r="E22" s="91">
        <v>0.47</v>
      </c>
      <c r="F22" s="92">
        <f t="shared" si="1"/>
        <v>0.32055813399999999</v>
      </c>
      <c r="H22" s="91">
        <v>0.77</v>
      </c>
      <c r="I22" s="92">
        <f t="shared" si="2"/>
        <v>0.56522331400000014</v>
      </c>
      <c r="O22" s="91">
        <v>0.17</v>
      </c>
      <c r="P22" s="93">
        <f t="shared" si="4"/>
        <v>0.15325335400000001</v>
      </c>
      <c r="S22">
        <v>0.17</v>
      </c>
      <c r="T22">
        <f t="shared" si="5"/>
        <v>0.10880000000000004</v>
      </c>
      <c r="U22"/>
      <c r="AC22" s="95">
        <v>11</v>
      </c>
      <c r="AD22" s="96">
        <f t="shared" si="6"/>
        <v>0.11</v>
      </c>
      <c r="AE22" s="96">
        <f t="shared" si="7"/>
        <v>0.116843998</v>
      </c>
      <c r="AF22" s="96">
        <f t="shared" si="8"/>
        <v>8.4314628956800017E-2</v>
      </c>
      <c r="AG22" s="96">
        <f t="shared" si="9"/>
        <v>0.1016659626598</v>
      </c>
      <c r="AH22" s="96">
        <f t="shared" si="10"/>
        <v>0.12615062244070002</v>
      </c>
    </row>
    <row r="23" spans="2:34" s="42" customFormat="1" ht="18" x14ac:dyDescent="0.25">
      <c r="B23" s="91">
        <v>0.18</v>
      </c>
      <c r="C23" s="92">
        <f t="shared" si="0"/>
        <v>0.15905185599999999</v>
      </c>
      <c r="E23" s="91">
        <v>0.48</v>
      </c>
      <c r="F23" s="92">
        <f t="shared" si="1"/>
        <v>0.32669593599999996</v>
      </c>
      <c r="H23" s="91">
        <v>0.78</v>
      </c>
      <c r="I23" s="92">
        <f t="shared" si="2"/>
        <v>0.5763336160000001</v>
      </c>
      <c r="O23" s="91">
        <v>0.18</v>
      </c>
      <c r="P23" s="93">
        <f t="shared" si="4"/>
        <v>0.15905185599999999</v>
      </c>
      <c r="S23">
        <v>0.18</v>
      </c>
      <c r="T23">
        <f t="shared" si="5"/>
        <v>0.11520000000000004</v>
      </c>
      <c r="U23"/>
      <c r="AC23" s="95">
        <v>12</v>
      </c>
      <c r="AD23" s="96">
        <f t="shared" si="6"/>
        <v>0.12</v>
      </c>
      <c r="AE23" s="96">
        <f t="shared" si="7"/>
        <v>0.12313062399999999</v>
      </c>
      <c r="AF23" s="96">
        <f t="shared" si="8"/>
        <v>8.8851058278400008E-2</v>
      </c>
      <c r="AG23" s="96">
        <f t="shared" si="9"/>
        <v>0.1071359559424</v>
      </c>
      <c r="AH23" s="96">
        <f t="shared" si="10"/>
        <v>0.13293797820160003</v>
      </c>
    </row>
    <row r="24" spans="2:34" s="42" customFormat="1" ht="18" x14ac:dyDescent="0.25">
      <c r="B24" s="97">
        <v>0.19</v>
      </c>
      <c r="C24" s="98">
        <f t="shared" si="0"/>
        <v>0.16478702200000001</v>
      </c>
      <c r="E24" s="97">
        <v>0.49</v>
      </c>
      <c r="F24" s="98">
        <f t="shared" si="1"/>
        <v>0.33292484199999994</v>
      </c>
      <c r="H24" s="97">
        <v>0.79</v>
      </c>
      <c r="I24" s="98">
        <f t="shared" si="2"/>
        <v>0.58768946199999994</v>
      </c>
      <c r="O24" s="97">
        <v>0.19</v>
      </c>
      <c r="P24" s="99">
        <f t="shared" si="4"/>
        <v>0.16478702200000001</v>
      </c>
      <c r="S24">
        <v>0.19</v>
      </c>
      <c r="T24">
        <f>T23+$U$5</f>
        <v>0.12160000000000004</v>
      </c>
      <c r="U24"/>
      <c r="AC24" s="95">
        <v>13</v>
      </c>
      <c r="AD24" s="96">
        <f t="shared" si="6"/>
        <v>0.13</v>
      </c>
      <c r="AE24" s="96">
        <f t="shared" si="7"/>
        <v>0.12932302600000001</v>
      </c>
      <c r="AF24" s="96">
        <f t="shared" si="8"/>
        <v>9.3319495561600019E-2</v>
      </c>
      <c r="AG24" s="96">
        <f t="shared" si="9"/>
        <v>0.11252396492260003</v>
      </c>
      <c r="AH24" s="96">
        <f t="shared" si="10"/>
        <v>0.13962360502090002</v>
      </c>
    </row>
    <row r="25" spans="2:34" s="42" customFormat="1" ht="18" x14ac:dyDescent="0.25">
      <c r="B25" s="91">
        <v>0.2</v>
      </c>
      <c r="C25" s="92">
        <f t="shared" si="0"/>
        <v>0.17046400000000003</v>
      </c>
      <c r="E25" s="91">
        <v>0.5</v>
      </c>
      <c r="F25" s="92">
        <f t="shared" si="1"/>
        <v>0.33925</v>
      </c>
      <c r="H25" s="91">
        <v>0.8</v>
      </c>
      <c r="I25" s="92">
        <f t="shared" si="2"/>
        <v>0.59929600000000005</v>
      </c>
      <c r="O25" s="91">
        <v>0.2</v>
      </c>
      <c r="P25" s="93">
        <f t="shared" si="4"/>
        <v>0.17046400000000003</v>
      </c>
      <c r="S25">
        <v>0.2</v>
      </c>
      <c r="T25">
        <f t="shared" si="5"/>
        <v>0.12800000000000003</v>
      </c>
      <c r="U25"/>
      <c r="AC25" s="95">
        <v>14</v>
      </c>
      <c r="AD25" s="96">
        <f t="shared" si="6"/>
        <v>0.14000000000000001</v>
      </c>
      <c r="AE25" s="96">
        <f t="shared" si="7"/>
        <v>0.135426352</v>
      </c>
      <c r="AF25" s="96">
        <f t="shared" si="8"/>
        <v>9.772365560320001E-2</v>
      </c>
      <c r="AG25" s="96">
        <f t="shared" si="9"/>
        <v>0.11783446887520002</v>
      </c>
      <c r="AH25" s="96">
        <f t="shared" si="10"/>
        <v>0.1462130609368</v>
      </c>
    </row>
    <row r="26" spans="2:34" s="42" customFormat="1" ht="18" x14ac:dyDescent="0.25">
      <c r="B26" s="91">
        <v>0.21</v>
      </c>
      <c r="C26" s="92">
        <f t="shared" si="0"/>
        <v>0.176087938</v>
      </c>
      <c r="E26" s="91">
        <v>0.51</v>
      </c>
      <c r="F26" s="92">
        <f t="shared" si="1"/>
        <v>0.34567655800000002</v>
      </c>
      <c r="H26" s="91">
        <v>0.81</v>
      </c>
      <c r="I26" s="92">
        <f t="shared" si="2"/>
        <v>0.61115837800000006</v>
      </c>
      <c r="O26" s="91">
        <v>0.21</v>
      </c>
      <c r="P26" s="93">
        <f t="shared" si="4"/>
        <v>0.176087938</v>
      </c>
      <c r="S26">
        <v>0.21</v>
      </c>
      <c r="T26">
        <f t="shared" si="5"/>
        <v>0.13440000000000002</v>
      </c>
      <c r="U26"/>
      <c r="AC26" s="95">
        <v>15</v>
      </c>
      <c r="AD26" s="96">
        <f t="shared" si="6"/>
        <v>0.15</v>
      </c>
      <c r="AE26" s="96">
        <f t="shared" si="7"/>
        <v>0.14144575000000001</v>
      </c>
      <c r="AF26" s="96">
        <f t="shared" si="8"/>
        <v>0.10206725320000003</v>
      </c>
      <c r="AG26" s="96">
        <f t="shared" si="9"/>
        <v>0.12307194707500002</v>
      </c>
      <c r="AH26" s="96">
        <f t="shared" si="10"/>
        <v>0.15271190398750001</v>
      </c>
    </row>
    <row r="27" spans="2:34" s="42" customFormat="1" ht="18" x14ac:dyDescent="0.25">
      <c r="B27" s="91">
        <v>0.22</v>
      </c>
      <c r="C27" s="92">
        <f t="shared" si="0"/>
        <v>0.18166398400000003</v>
      </c>
      <c r="E27" s="91">
        <v>0.52</v>
      </c>
      <c r="F27" s="92">
        <f t="shared" si="1"/>
        <v>0.35220966399999998</v>
      </c>
      <c r="H27" s="91">
        <v>0.82</v>
      </c>
      <c r="I27" s="92">
        <f t="shared" si="2"/>
        <v>0.62328174400000003</v>
      </c>
      <c r="O27" s="91">
        <v>0.22</v>
      </c>
      <c r="P27" s="93">
        <f t="shared" si="4"/>
        <v>0.18166398400000003</v>
      </c>
      <c r="S27">
        <v>0.22</v>
      </c>
      <c r="T27">
        <f t="shared" si="5"/>
        <v>0.14080000000000001</v>
      </c>
      <c r="U27"/>
      <c r="AC27" s="95">
        <v>16</v>
      </c>
      <c r="AD27" s="96">
        <f t="shared" si="6"/>
        <v>0.16</v>
      </c>
      <c r="AE27" s="96">
        <f t="shared" si="7"/>
        <v>0.14738636800000002</v>
      </c>
      <c r="AF27" s="96">
        <f t="shared" si="8"/>
        <v>0.10635400314880002</v>
      </c>
      <c r="AG27" s="96">
        <f t="shared" si="9"/>
        <v>0.12824087879680005</v>
      </c>
      <c r="AH27" s="96">
        <f t="shared" si="10"/>
        <v>0.15912569221120004</v>
      </c>
    </row>
    <row r="28" spans="2:34" s="42" customFormat="1" ht="18" x14ac:dyDescent="0.25">
      <c r="B28" s="91">
        <v>0.23</v>
      </c>
      <c r="C28" s="92">
        <f t="shared" si="0"/>
        <v>0.18719728600000002</v>
      </c>
      <c r="E28" s="91">
        <v>0.53</v>
      </c>
      <c r="F28" s="92">
        <f t="shared" si="1"/>
        <v>0.35885446599999998</v>
      </c>
      <c r="H28" s="91">
        <v>0.83</v>
      </c>
      <c r="I28" s="92">
        <f t="shared" si="2"/>
        <v>0.63567124600000002</v>
      </c>
      <c r="O28" s="91">
        <v>0.23</v>
      </c>
      <c r="P28" s="93">
        <f t="shared" si="4"/>
        <v>0.18719728600000002</v>
      </c>
      <c r="S28">
        <v>0.23</v>
      </c>
      <c r="T28">
        <f t="shared" si="5"/>
        <v>0.1472</v>
      </c>
      <c r="U28"/>
      <c r="AC28" s="95">
        <v>17</v>
      </c>
      <c r="AD28" s="96">
        <f t="shared" si="6"/>
        <v>0.17</v>
      </c>
      <c r="AE28" s="96">
        <f t="shared" si="7"/>
        <v>0.15325335400000001</v>
      </c>
      <c r="AF28" s="96">
        <f t="shared" si="8"/>
        <v>0.11058762024640001</v>
      </c>
      <c r="AG28" s="96">
        <f t="shared" si="9"/>
        <v>0.13334574331540003</v>
      </c>
      <c r="AH28" s="96">
        <f t="shared" si="10"/>
        <v>0.16545998364610004</v>
      </c>
    </row>
    <row r="29" spans="2:34" s="42" customFormat="1" ht="18" x14ac:dyDescent="0.25">
      <c r="B29" s="91">
        <v>0.24</v>
      </c>
      <c r="C29" s="92">
        <f t="shared" si="0"/>
        <v>0.19269299200000001</v>
      </c>
      <c r="E29" s="91">
        <v>0.54</v>
      </c>
      <c r="F29" s="92">
        <f t="shared" si="1"/>
        <v>0.36561611200000005</v>
      </c>
      <c r="H29" s="91">
        <v>0.84</v>
      </c>
      <c r="I29" s="92">
        <f t="shared" si="2"/>
        <v>0.64833203199999989</v>
      </c>
      <c r="O29" s="91">
        <v>0.24</v>
      </c>
      <c r="P29" s="93">
        <f t="shared" si="4"/>
        <v>0.19269299200000001</v>
      </c>
      <c r="S29">
        <v>0.24</v>
      </c>
      <c r="T29">
        <f t="shared" si="5"/>
        <v>0.15359999999999999</v>
      </c>
      <c r="U29"/>
      <c r="AC29" s="95">
        <v>18</v>
      </c>
      <c r="AD29" s="96">
        <f t="shared" si="6"/>
        <v>0.18</v>
      </c>
      <c r="AE29" s="96">
        <f t="shared" si="7"/>
        <v>0.15905185599999999</v>
      </c>
      <c r="AF29" s="96">
        <f t="shared" si="8"/>
        <v>0.11477181928960001</v>
      </c>
      <c r="AG29" s="96">
        <f t="shared" si="9"/>
        <v>0.13839101990560002</v>
      </c>
      <c r="AH29" s="96">
        <f t="shared" si="10"/>
        <v>0.17172033633040001</v>
      </c>
    </row>
    <row r="30" spans="2:34" s="42" customFormat="1" ht="18" x14ac:dyDescent="0.25">
      <c r="B30" s="91">
        <v>0.25</v>
      </c>
      <c r="C30" s="92">
        <f t="shared" si="0"/>
        <v>0.19815625000000001</v>
      </c>
      <c r="E30" s="91">
        <v>0.55000000000000004</v>
      </c>
      <c r="F30" s="92">
        <f t="shared" si="1"/>
        <v>0.37249974999999996</v>
      </c>
      <c r="H30" s="91">
        <v>0.85</v>
      </c>
      <c r="I30" s="92">
        <f t="shared" si="2"/>
        <v>0.66126925000000003</v>
      </c>
      <c r="O30" s="91">
        <v>0.25</v>
      </c>
      <c r="P30" s="93">
        <f t="shared" si="4"/>
        <v>0.19815625000000001</v>
      </c>
      <c r="S30" s="42">
        <v>0.25</v>
      </c>
      <c r="T30" s="96">
        <v>0.16</v>
      </c>
      <c r="U30" s="42" t="s">
        <v>77</v>
      </c>
      <c r="AC30" s="95">
        <v>19</v>
      </c>
      <c r="AD30" s="96">
        <f t="shared" si="6"/>
        <v>0.19</v>
      </c>
      <c r="AE30" s="96">
        <f t="shared" si="7"/>
        <v>0.16478702200000001</v>
      </c>
      <c r="AF30" s="96">
        <f t="shared" si="8"/>
        <v>0.11891031507520002</v>
      </c>
      <c r="AG30" s="96">
        <f t="shared" si="9"/>
        <v>0.14338118784220003</v>
      </c>
      <c r="AH30" s="96">
        <f t="shared" si="10"/>
        <v>0.17791230830230004</v>
      </c>
    </row>
    <row r="31" spans="2:34" s="42" customFormat="1" ht="18" x14ac:dyDescent="0.25">
      <c r="B31" s="91">
        <v>0.26</v>
      </c>
      <c r="C31" s="92">
        <f t="shared" si="0"/>
        <v>0.20359220800000002</v>
      </c>
      <c r="E31" s="91">
        <v>0.56000000000000005</v>
      </c>
      <c r="F31" s="92">
        <f t="shared" si="1"/>
        <v>0.37951052800000001</v>
      </c>
      <c r="H31" s="91">
        <v>0.86</v>
      </c>
      <c r="I31" s="92">
        <f t="shared" si="2"/>
        <v>0.67448804800000006</v>
      </c>
      <c r="O31" s="91">
        <v>0.26</v>
      </c>
      <c r="P31" s="93">
        <f t="shared" si="4"/>
        <v>0.20359220800000002</v>
      </c>
      <c r="S31" s="42">
        <v>0.26</v>
      </c>
      <c r="T31" s="96">
        <f>T30+$U$32</f>
        <v>0.16839999999999999</v>
      </c>
      <c r="U31" s="42" t="s">
        <v>78</v>
      </c>
      <c r="AC31" s="42">
        <v>20</v>
      </c>
      <c r="AD31" s="96">
        <f>AC31/100</f>
        <v>0.2</v>
      </c>
      <c r="AE31" s="96">
        <f>0.858*AD31^3-0.78*AD31^2+0.774*AD31+0.04</f>
        <v>0.17046400000000003</v>
      </c>
      <c r="AF31" s="96">
        <f>$AE$4*AE31*$AE$7</f>
        <v>0.12300682240000003</v>
      </c>
      <c r="AG31" s="96">
        <f>$AE$5*AE31*$AE$7</f>
        <v>0.14832072640000005</v>
      </c>
      <c r="AH31" s="96">
        <f>$AE$6*AE31*$AE$7</f>
        <v>0.18404145760000007</v>
      </c>
    </row>
    <row r="32" spans="2:34" s="42" customFormat="1" ht="18" x14ac:dyDescent="0.25">
      <c r="B32" s="91">
        <v>0.27</v>
      </c>
      <c r="C32" s="92">
        <f t="shared" si="0"/>
        <v>0.20900601400000005</v>
      </c>
      <c r="E32" s="91">
        <v>0.56999999999999995</v>
      </c>
      <c r="F32" s="92">
        <f t="shared" si="1"/>
        <v>0.38665359399999993</v>
      </c>
      <c r="H32" s="91">
        <v>0.87</v>
      </c>
      <c r="I32" s="92">
        <f t="shared" si="2"/>
        <v>0.68799357399999994</v>
      </c>
      <c r="O32" s="91">
        <v>0.27</v>
      </c>
      <c r="P32" s="93">
        <f t="shared" si="4"/>
        <v>0.20900601400000005</v>
      </c>
      <c r="S32" s="42">
        <v>0.27</v>
      </c>
      <c r="T32" s="96">
        <f t="shared" ref="T32:T54" si="11">T31+$U$32</f>
        <v>0.17679999999999998</v>
      </c>
      <c r="U32" s="42">
        <f>(T55-T30)/25</f>
        <v>8.3999999999999995E-3</v>
      </c>
      <c r="AC32" s="42">
        <v>21</v>
      </c>
      <c r="AD32" s="96">
        <f t="shared" ref="AD32:AD95" si="12">AC32/100</f>
        <v>0.21</v>
      </c>
      <c r="AE32" s="96">
        <f t="shared" ref="AE32:AE95" si="13">0.858*AD32^3-0.78*AD32^2+0.774*AD32+0.04</f>
        <v>0.176087938</v>
      </c>
      <c r="AF32" s="96">
        <f t="shared" ref="AF32:AF95" si="14">$AE$4*AE32*$AE$7</f>
        <v>0.12706505606080001</v>
      </c>
      <c r="AG32" s="96">
        <f t="shared" ref="AG32:AG95" si="15">$AE$5*AE32*$AE$7</f>
        <v>0.15321411485380004</v>
      </c>
      <c r="AH32" s="96">
        <f t="shared" ref="AH32:AH95" si="16">$AE$6*AE32*$AE$7</f>
        <v>0.19011334226170001</v>
      </c>
    </row>
    <row r="33" spans="2:34" s="42" customFormat="1" ht="18" x14ac:dyDescent="0.25">
      <c r="B33" s="91">
        <v>0.28000000000000003</v>
      </c>
      <c r="C33" s="92">
        <f t="shared" si="0"/>
        <v>0.21440281600000002</v>
      </c>
      <c r="E33" s="91">
        <v>0.57999999999999996</v>
      </c>
      <c r="F33" s="92">
        <f t="shared" si="1"/>
        <v>0.3939340959999999</v>
      </c>
      <c r="H33" s="91">
        <v>0.88</v>
      </c>
      <c r="I33" s="92">
        <f t="shared" si="2"/>
        <v>0.70179097600000007</v>
      </c>
      <c r="O33" s="91">
        <v>0.28000000000000003</v>
      </c>
      <c r="P33" s="93">
        <f t="shared" si="4"/>
        <v>0.21440281600000002</v>
      </c>
      <c r="S33" s="42">
        <v>0.28000000000000003</v>
      </c>
      <c r="T33" s="96">
        <f t="shared" si="11"/>
        <v>0.18519999999999998</v>
      </c>
      <c r="AC33" s="42">
        <v>22</v>
      </c>
      <c r="AD33" s="96">
        <f t="shared" si="12"/>
        <v>0.22</v>
      </c>
      <c r="AE33" s="96">
        <f t="shared" si="13"/>
        <v>0.18166398400000003</v>
      </c>
      <c r="AF33" s="96">
        <f t="shared" si="14"/>
        <v>0.13108873085440004</v>
      </c>
      <c r="AG33" s="96">
        <f t="shared" si="15"/>
        <v>0.15806583247840006</v>
      </c>
      <c r="AH33" s="96">
        <f t="shared" si="16"/>
        <v>0.19613352032560005</v>
      </c>
    </row>
    <row r="34" spans="2:34" s="42" customFormat="1" ht="18.75" thickBot="1" x14ac:dyDescent="0.3">
      <c r="B34" s="100">
        <v>0.28999999999999998</v>
      </c>
      <c r="C34" s="101">
        <f t="shared" si="0"/>
        <v>0.219787762</v>
      </c>
      <c r="E34" s="100">
        <v>0.59</v>
      </c>
      <c r="F34" s="101">
        <f t="shared" si="1"/>
        <v>0.40135718199999998</v>
      </c>
      <c r="H34" s="100">
        <v>0.89</v>
      </c>
      <c r="I34" s="101">
        <f t="shared" si="2"/>
        <v>0.71588540200000006</v>
      </c>
      <c r="O34" s="100">
        <v>0.28999999999999998</v>
      </c>
      <c r="P34" s="102">
        <f t="shared" si="4"/>
        <v>0.219787762</v>
      </c>
      <c r="S34" s="42">
        <v>0.28999999999999998</v>
      </c>
      <c r="T34" s="96">
        <f t="shared" si="11"/>
        <v>0.19359999999999997</v>
      </c>
      <c r="AC34" s="42">
        <v>23</v>
      </c>
      <c r="AD34" s="96">
        <f t="shared" si="12"/>
        <v>0.23</v>
      </c>
      <c r="AE34" s="96">
        <f t="shared" si="13"/>
        <v>0.18719728600000002</v>
      </c>
      <c r="AF34" s="96">
        <f t="shared" si="14"/>
        <v>0.13508156157760004</v>
      </c>
      <c r="AG34" s="96">
        <f t="shared" si="15"/>
        <v>0.16288035854860006</v>
      </c>
      <c r="AH34" s="96">
        <f t="shared" si="16"/>
        <v>0.20210754982990006</v>
      </c>
    </row>
    <row r="35" spans="2:34" s="42" customFormat="1" ht="18" x14ac:dyDescent="0.25">
      <c r="E35" s="103"/>
      <c r="F35" s="104"/>
      <c r="O35" s="91">
        <v>0.3</v>
      </c>
      <c r="P35" s="93">
        <f t="shared" si="4"/>
        <v>0.22516600000000001</v>
      </c>
      <c r="S35" s="42">
        <v>0.3</v>
      </c>
      <c r="T35" s="96">
        <f t="shared" si="11"/>
        <v>0.20199999999999996</v>
      </c>
      <c r="AC35" s="42">
        <v>24</v>
      </c>
      <c r="AD35" s="96">
        <f t="shared" si="12"/>
        <v>0.24</v>
      </c>
      <c r="AE35" s="96">
        <f t="shared" si="13"/>
        <v>0.19269299200000001</v>
      </c>
      <c r="AF35" s="96">
        <f t="shared" si="14"/>
        <v>0.1390472630272</v>
      </c>
      <c r="AG35" s="96">
        <f t="shared" si="15"/>
        <v>0.16766217233920003</v>
      </c>
      <c r="AH35" s="96">
        <f t="shared" si="16"/>
        <v>0.20804098881280006</v>
      </c>
    </row>
    <row r="36" spans="2:34" s="42" customFormat="1" ht="18" x14ac:dyDescent="0.25">
      <c r="E36" s="105"/>
      <c r="F36" s="106"/>
      <c r="O36" s="91">
        <v>0.31</v>
      </c>
      <c r="P36" s="93">
        <f t="shared" si="4"/>
        <v>0.23054267800000003</v>
      </c>
      <c r="S36" s="42">
        <v>0.31</v>
      </c>
      <c r="T36" s="96">
        <f t="shared" si="11"/>
        <v>0.21039999999999995</v>
      </c>
      <c r="AC36" s="42">
        <v>25</v>
      </c>
      <c r="AD36" s="96">
        <f t="shared" si="12"/>
        <v>0.25</v>
      </c>
      <c r="AE36" s="96">
        <f t="shared" si="13"/>
        <v>0.19815625000000001</v>
      </c>
      <c r="AF36" s="96">
        <f t="shared" si="14"/>
        <v>0.14298955000000002</v>
      </c>
      <c r="AG36" s="96">
        <f t="shared" si="15"/>
        <v>0.17241575312500004</v>
      </c>
      <c r="AH36" s="96">
        <f t="shared" si="16"/>
        <v>0.21393939531250003</v>
      </c>
    </row>
    <row r="37" spans="2:34" s="42" customFormat="1" ht="18" x14ac:dyDescent="0.25">
      <c r="E37" s="105"/>
      <c r="F37" s="106"/>
      <c r="O37" s="91">
        <v>0.32</v>
      </c>
      <c r="P37" s="93">
        <f t="shared" si="4"/>
        <v>0.235922944</v>
      </c>
      <c r="S37" s="42">
        <v>0.32</v>
      </c>
      <c r="T37" s="96">
        <f t="shared" si="11"/>
        <v>0.21879999999999994</v>
      </c>
      <c r="AC37" s="42">
        <v>26</v>
      </c>
      <c r="AD37" s="96">
        <f t="shared" si="12"/>
        <v>0.26</v>
      </c>
      <c r="AE37" s="96">
        <f t="shared" si="13"/>
        <v>0.20359220800000002</v>
      </c>
      <c r="AF37" s="96">
        <f t="shared" si="14"/>
        <v>0.14691213729280003</v>
      </c>
      <c r="AG37" s="96">
        <f t="shared" si="15"/>
        <v>0.17714558018080004</v>
      </c>
      <c r="AH37" s="96">
        <f t="shared" si="16"/>
        <v>0.21980832736720005</v>
      </c>
    </row>
    <row r="38" spans="2:34" s="42" customFormat="1" ht="18" x14ac:dyDescent="0.25">
      <c r="E38" s="105"/>
      <c r="F38" s="106"/>
      <c r="O38" s="91">
        <v>0.33</v>
      </c>
      <c r="P38" s="93">
        <f t="shared" si="4"/>
        <v>0.24131194600000003</v>
      </c>
      <c r="S38" s="42">
        <v>0.33</v>
      </c>
      <c r="T38" s="96">
        <f t="shared" si="11"/>
        <v>0.22719999999999993</v>
      </c>
      <c r="AC38" s="42">
        <v>27</v>
      </c>
      <c r="AD38" s="96">
        <f t="shared" si="12"/>
        <v>0.27</v>
      </c>
      <c r="AE38" s="96">
        <f t="shared" si="13"/>
        <v>0.20900601400000005</v>
      </c>
      <c r="AF38" s="96">
        <f t="shared" si="14"/>
        <v>0.15081873970240006</v>
      </c>
      <c r="AG38" s="96">
        <f t="shared" si="15"/>
        <v>0.18185613278140006</v>
      </c>
      <c r="AH38" s="96">
        <f t="shared" si="16"/>
        <v>0.22565334301510009</v>
      </c>
    </row>
    <row r="39" spans="2:34" s="42" customFormat="1" ht="18" x14ac:dyDescent="0.25">
      <c r="E39" s="105"/>
      <c r="F39" s="106"/>
      <c r="O39" s="91">
        <v>0.34</v>
      </c>
      <c r="P39" s="93">
        <f t="shared" si="4"/>
        <v>0.246714832</v>
      </c>
      <c r="S39" s="42">
        <v>0.34</v>
      </c>
      <c r="T39" s="96">
        <f t="shared" si="11"/>
        <v>0.23559999999999992</v>
      </c>
      <c r="AC39" s="42">
        <v>28</v>
      </c>
      <c r="AD39" s="96">
        <f t="shared" si="12"/>
        <v>0.28000000000000003</v>
      </c>
      <c r="AE39" s="96">
        <f t="shared" si="13"/>
        <v>0.21440281600000002</v>
      </c>
      <c r="AF39" s="96">
        <f t="shared" si="14"/>
        <v>0.15471307202560006</v>
      </c>
      <c r="AG39" s="96">
        <f t="shared" si="15"/>
        <v>0.18655189020160007</v>
      </c>
      <c r="AH39" s="96">
        <f t="shared" si="16"/>
        <v>0.23148000029440005</v>
      </c>
    </row>
    <row r="40" spans="2:34" s="42" customFormat="1" ht="18" x14ac:dyDescent="0.25">
      <c r="E40" s="105"/>
      <c r="F40" s="106"/>
      <c r="O40" s="91">
        <v>0.35</v>
      </c>
      <c r="P40" s="93">
        <f t="shared" si="4"/>
        <v>0.25213674999999997</v>
      </c>
      <c r="S40" s="42">
        <v>0.35</v>
      </c>
      <c r="T40" s="96">
        <f t="shared" si="11"/>
        <v>0.24399999999999991</v>
      </c>
      <c r="AC40" s="42">
        <v>29</v>
      </c>
      <c r="AD40" s="96">
        <f t="shared" si="12"/>
        <v>0.28999999999999998</v>
      </c>
      <c r="AE40" s="96">
        <f t="shared" si="13"/>
        <v>0.219787762</v>
      </c>
      <c r="AF40" s="96">
        <f t="shared" si="14"/>
        <v>0.15859884905920002</v>
      </c>
      <c r="AG40" s="96">
        <f t="shared" si="15"/>
        <v>0.19123733171620003</v>
      </c>
      <c r="AH40" s="96">
        <f t="shared" si="16"/>
        <v>0.23729385724330004</v>
      </c>
    </row>
    <row r="41" spans="2:34" s="42" customFormat="1" ht="18" x14ac:dyDescent="0.25">
      <c r="E41" s="105"/>
      <c r="F41" s="106"/>
      <c r="O41" s="91">
        <v>0.36</v>
      </c>
      <c r="P41" s="93">
        <f t="shared" si="4"/>
        <v>0.25758284799999998</v>
      </c>
      <c r="S41" s="42">
        <v>0.36</v>
      </c>
      <c r="T41" s="96">
        <f t="shared" si="11"/>
        <v>0.2523999999999999</v>
      </c>
      <c r="AC41" s="42">
        <v>30</v>
      </c>
      <c r="AD41" s="96">
        <f t="shared" si="12"/>
        <v>0.3</v>
      </c>
      <c r="AE41" s="96">
        <f t="shared" si="13"/>
        <v>0.22516600000000001</v>
      </c>
      <c r="AF41" s="96">
        <f t="shared" si="14"/>
        <v>0.16247978560000001</v>
      </c>
      <c r="AG41" s="96">
        <f t="shared" si="15"/>
        <v>0.19591693660000004</v>
      </c>
      <c r="AH41" s="96">
        <f t="shared" si="16"/>
        <v>0.24310047190000006</v>
      </c>
    </row>
    <row r="42" spans="2:34" s="42" customFormat="1" ht="18" x14ac:dyDescent="0.25">
      <c r="E42" s="105"/>
      <c r="F42" s="106"/>
      <c r="O42" s="91">
        <v>0.37</v>
      </c>
      <c r="P42" s="93">
        <f t="shared" si="4"/>
        <v>0.26305827399999998</v>
      </c>
      <c r="S42" s="42">
        <v>0.37</v>
      </c>
      <c r="T42" s="96">
        <f t="shared" si="11"/>
        <v>0.26079999999999992</v>
      </c>
      <c r="AC42" s="42">
        <v>31</v>
      </c>
      <c r="AD42" s="96">
        <f t="shared" si="12"/>
        <v>0.31</v>
      </c>
      <c r="AE42" s="96">
        <f t="shared" si="13"/>
        <v>0.23054267800000003</v>
      </c>
      <c r="AF42" s="96">
        <f t="shared" si="14"/>
        <v>0.16635959644480006</v>
      </c>
      <c r="AG42" s="96">
        <f t="shared" si="15"/>
        <v>0.20059518412780006</v>
      </c>
      <c r="AH42" s="96">
        <f t="shared" si="16"/>
        <v>0.24890540230270006</v>
      </c>
    </row>
    <row r="43" spans="2:34" s="42" customFormat="1" ht="18" x14ac:dyDescent="0.25">
      <c r="E43" s="105"/>
      <c r="F43" s="106"/>
      <c r="O43" s="91">
        <v>0.38</v>
      </c>
      <c r="P43" s="93">
        <f t="shared" si="4"/>
        <v>0.26856817599999999</v>
      </c>
      <c r="S43" s="42">
        <v>0.38</v>
      </c>
      <c r="T43" s="96">
        <f t="shared" si="11"/>
        <v>0.26919999999999994</v>
      </c>
      <c r="AC43" s="42">
        <v>32</v>
      </c>
      <c r="AD43" s="96">
        <f t="shared" si="12"/>
        <v>0.32</v>
      </c>
      <c r="AE43" s="96">
        <f t="shared" si="13"/>
        <v>0.235922944</v>
      </c>
      <c r="AF43" s="96">
        <f t="shared" si="14"/>
        <v>0.17024199639040002</v>
      </c>
      <c r="AG43" s="96">
        <f t="shared" si="15"/>
        <v>0.20527655357440003</v>
      </c>
      <c r="AH43" s="96">
        <f t="shared" si="16"/>
        <v>0.25471420648960003</v>
      </c>
    </row>
    <row r="44" spans="2:34" s="42" customFormat="1" ht="18" x14ac:dyDescent="0.25">
      <c r="E44" s="105"/>
      <c r="F44" s="106"/>
      <c r="O44" s="97">
        <v>0.39</v>
      </c>
      <c r="P44" s="99">
        <f t="shared" si="4"/>
        <v>0.27411770200000002</v>
      </c>
      <c r="S44" s="42">
        <v>0.39</v>
      </c>
      <c r="T44" s="96">
        <f t="shared" si="11"/>
        <v>0.27759999999999996</v>
      </c>
      <c r="AC44" s="42">
        <v>33</v>
      </c>
      <c r="AD44" s="96">
        <f t="shared" si="12"/>
        <v>0.33</v>
      </c>
      <c r="AE44" s="96">
        <f t="shared" si="13"/>
        <v>0.24131194600000003</v>
      </c>
      <c r="AF44" s="96">
        <f t="shared" si="14"/>
        <v>0.17413070023360003</v>
      </c>
      <c r="AG44" s="96">
        <f t="shared" si="15"/>
        <v>0.20996552421460007</v>
      </c>
      <c r="AH44" s="96">
        <f t="shared" si="16"/>
        <v>0.26053244249890006</v>
      </c>
    </row>
    <row r="45" spans="2:34" s="42" customFormat="1" ht="18" x14ac:dyDescent="0.25">
      <c r="E45" s="105"/>
      <c r="F45" s="106"/>
      <c r="O45" s="91">
        <v>0.4</v>
      </c>
      <c r="P45" s="93">
        <f t="shared" si="4"/>
        <v>0.27971200000000002</v>
      </c>
      <c r="S45" s="42">
        <v>0.4</v>
      </c>
      <c r="T45" s="96">
        <f t="shared" si="11"/>
        <v>0.28599999999999998</v>
      </c>
      <c r="AC45" s="42">
        <v>34</v>
      </c>
      <c r="AD45" s="96">
        <f t="shared" si="12"/>
        <v>0.34</v>
      </c>
      <c r="AE45" s="96">
        <f t="shared" si="13"/>
        <v>0.246714832</v>
      </c>
      <c r="AF45" s="96">
        <f t="shared" si="14"/>
        <v>0.17802942277120001</v>
      </c>
      <c r="AG45" s="96">
        <f t="shared" si="15"/>
        <v>0.21466657532320002</v>
      </c>
      <c r="AH45" s="96">
        <f t="shared" si="16"/>
        <v>0.26636566836880005</v>
      </c>
    </row>
    <row r="46" spans="2:34" s="42" customFormat="1" ht="18" x14ac:dyDescent="0.25">
      <c r="E46" s="105"/>
      <c r="F46" s="106"/>
      <c r="O46" s="91">
        <v>0.41</v>
      </c>
      <c r="P46" s="93">
        <f t="shared" si="4"/>
        <v>0.28535621799999999</v>
      </c>
      <c r="S46" s="42">
        <v>0.41</v>
      </c>
      <c r="T46" s="96">
        <f t="shared" si="11"/>
        <v>0.2944</v>
      </c>
      <c r="AC46" s="42">
        <v>35</v>
      </c>
      <c r="AD46" s="96">
        <f t="shared" si="12"/>
        <v>0.35</v>
      </c>
      <c r="AE46" s="96">
        <f t="shared" si="13"/>
        <v>0.25213674999999997</v>
      </c>
      <c r="AF46" s="96">
        <f t="shared" si="14"/>
        <v>0.18194187879999998</v>
      </c>
      <c r="AG46" s="96">
        <f t="shared" si="15"/>
        <v>0.21938418617500002</v>
      </c>
      <c r="AH46" s="96">
        <f t="shared" si="16"/>
        <v>0.27221944213749999</v>
      </c>
    </row>
    <row r="47" spans="2:34" s="42" customFormat="1" ht="18" x14ac:dyDescent="0.25">
      <c r="E47" s="105"/>
      <c r="F47" s="106"/>
      <c r="O47" s="91">
        <v>0.42</v>
      </c>
      <c r="P47" s="93">
        <f t="shared" si="4"/>
        <v>0.29105550399999996</v>
      </c>
      <c r="S47" s="42">
        <v>0.42</v>
      </c>
      <c r="T47" s="96">
        <f t="shared" si="11"/>
        <v>0.30280000000000001</v>
      </c>
      <c r="AC47" s="42">
        <v>36</v>
      </c>
      <c r="AD47" s="96">
        <f t="shared" si="12"/>
        <v>0.36</v>
      </c>
      <c r="AE47" s="96">
        <f t="shared" si="13"/>
        <v>0.25758284799999998</v>
      </c>
      <c r="AF47" s="96">
        <f t="shared" si="14"/>
        <v>0.1858717831168</v>
      </c>
      <c r="AG47" s="96">
        <f t="shared" si="15"/>
        <v>0.22412283604480002</v>
      </c>
      <c r="AH47" s="96">
        <f t="shared" si="16"/>
        <v>0.27809932184320002</v>
      </c>
    </row>
    <row r="48" spans="2:34" s="42" customFormat="1" ht="18" x14ac:dyDescent="0.25">
      <c r="E48" s="105"/>
      <c r="F48" s="106"/>
      <c r="O48" s="91">
        <v>0.43</v>
      </c>
      <c r="P48" s="93">
        <f t="shared" si="4"/>
        <v>0.29681500599999999</v>
      </c>
      <c r="S48" s="42">
        <v>0.43</v>
      </c>
      <c r="T48" s="96">
        <f t="shared" si="11"/>
        <v>0.31120000000000003</v>
      </c>
      <c r="AC48" s="42">
        <v>37</v>
      </c>
      <c r="AD48" s="96">
        <f t="shared" si="12"/>
        <v>0.37</v>
      </c>
      <c r="AE48" s="96">
        <f t="shared" si="13"/>
        <v>0.26305827399999998</v>
      </c>
      <c r="AF48" s="96">
        <f t="shared" si="14"/>
        <v>0.1898228505184</v>
      </c>
      <c r="AG48" s="96">
        <f t="shared" si="15"/>
        <v>0.22888700420740002</v>
      </c>
      <c r="AH48" s="96">
        <f t="shared" si="16"/>
        <v>0.28401086552410004</v>
      </c>
    </row>
    <row r="49" spans="4:34" s="42" customFormat="1" ht="18" x14ac:dyDescent="0.25">
      <c r="E49" s="105"/>
      <c r="F49" s="106"/>
      <c r="O49" s="91">
        <v>0.44</v>
      </c>
      <c r="P49" s="93">
        <f t="shared" si="4"/>
        <v>0.30263987200000003</v>
      </c>
      <c r="S49" s="42">
        <v>0.44</v>
      </c>
      <c r="T49" s="96">
        <f t="shared" si="11"/>
        <v>0.31960000000000005</v>
      </c>
      <c r="AC49" s="42">
        <v>38</v>
      </c>
      <c r="AD49" s="96">
        <f t="shared" si="12"/>
        <v>0.38</v>
      </c>
      <c r="AE49" s="96">
        <f t="shared" si="13"/>
        <v>0.26856817599999999</v>
      </c>
      <c r="AF49" s="96">
        <f t="shared" si="14"/>
        <v>0.1937987958016</v>
      </c>
      <c r="AG49" s="96">
        <f t="shared" si="15"/>
        <v>0.23368116993760002</v>
      </c>
      <c r="AH49" s="96">
        <f t="shared" si="16"/>
        <v>0.28995963121840002</v>
      </c>
    </row>
    <row r="50" spans="4:34" s="42" customFormat="1" ht="18" x14ac:dyDescent="0.25">
      <c r="E50" s="105"/>
      <c r="F50" s="106"/>
      <c r="O50" s="91">
        <v>0.45</v>
      </c>
      <c r="P50" s="93">
        <f t="shared" si="4"/>
        <v>0.30853524999999998</v>
      </c>
      <c r="S50" s="42">
        <v>0.45</v>
      </c>
      <c r="T50" s="96">
        <f t="shared" si="11"/>
        <v>0.32800000000000007</v>
      </c>
      <c r="AC50" s="42">
        <v>39</v>
      </c>
      <c r="AD50" s="96">
        <f t="shared" si="12"/>
        <v>0.39</v>
      </c>
      <c r="AE50" s="96">
        <f t="shared" si="13"/>
        <v>0.27411770200000002</v>
      </c>
      <c r="AF50" s="96">
        <f t="shared" si="14"/>
        <v>0.19780333376320003</v>
      </c>
      <c r="AG50" s="96">
        <f t="shared" si="15"/>
        <v>0.23850981251020004</v>
      </c>
      <c r="AH50" s="96">
        <f t="shared" si="16"/>
        <v>0.29595117696430007</v>
      </c>
    </row>
    <row r="51" spans="4:34" s="42" customFormat="1" ht="18" x14ac:dyDescent="0.25">
      <c r="E51" s="105"/>
      <c r="F51" s="106"/>
      <c r="O51" s="91">
        <v>0.46</v>
      </c>
      <c r="P51" s="93">
        <f t="shared" si="4"/>
        <v>0.31450628800000002</v>
      </c>
      <c r="S51" s="42">
        <v>0.46</v>
      </c>
      <c r="T51" s="96">
        <f t="shared" si="11"/>
        <v>0.33640000000000009</v>
      </c>
      <c r="AC51" s="42">
        <v>40</v>
      </c>
      <c r="AD51" s="96">
        <f t="shared" si="12"/>
        <v>0.4</v>
      </c>
      <c r="AE51" s="96">
        <f t="shared" si="13"/>
        <v>0.27971200000000002</v>
      </c>
      <c r="AF51" s="96">
        <f t="shared" si="14"/>
        <v>0.20184017920000002</v>
      </c>
      <c r="AG51" s="96">
        <f t="shared" si="15"/>
        <v>0.24337741120000003</v>
      </c>
      <c r="AH51" s="96">
        <f t="shared" si="16"/>
        <v>0.30199106080000004</v>
      </c>
    </row>
    <row r="52" spans="4:34" s="42" customFormat="1" ht="18" x14ac:dyDescent="0.25">
      <c r="E52" s="105"/>
      <c r="F52" s="106"/>
      <c r="O52" s="91">
        <v>0.47</v>
      </c>
      <c r="P52" s="93">
        <f t="shared" si="4"/>
        <v>0.32055813399999999</v>
      </c>
      <c r="S52" s="42">
        <v>0.47</v>
      </c>
      <c r="T52" s="96">
        <f t="shared" si="11"/>
        <v>0.34480000000000011</v>
      </c>
      <c r="AC52" s="42">
        <v>41</v>
      </c>
      <c r="AD52" s="96">
        <f t="shared" si="12"/>
        <v>0.41</v>
      </c>
      <c r="AE52" s="96">
        <f t="shared" si="13"/>
        <v>0.28535621799999999</v>
      </c>
      <c r="AF52" s="96">
        <f t="shared" si="14"/>
        <v>0.2059130469088</v>
      </c>
      <c r="AG52" s="96">
        <f t="shared" si="15"/>
        <v>0.24828844528180002</v>
      </c>
      <c r="AH52" s="96">
        <f t="shared" si="16"/>
        <v>0.30808484076370002</v>
      </c>
    </row>
    <row r="53" spans="4:34" ht="18" x14ac:dyDescent="0.25">
      <c r="D53" s="107"/>
      <c r="E53" s="108"/>
      <c r="F53" s="109"/>
      <c r="O53" s="110">
        <v>0.48</v>
      </c>
      <c r="P53" s="111">
        <f t="shared" si="4"/>
        <v>0.32669593599999996</v>
      </c>
      <c r="S53" s="42">
        <v>0.48</v>
      </c>
      <c r="T53" s="96">
        <f t="shared" si="11"/>
        <v>0.35320000000000012</v>
      </c>
      <c r="U53" s="42"/>
      <c r="AC53" s="42">
        <v>42</v>
      </c>
      <c r="AD53" s="96">
        <f t="shared" si="12"/>
        <v>0.42</v>
      </c>
      <c r="AE53" s="96">
        <f t="shared" si="13"/>
        <v>0.29105550399999996</v>
      </c>
      <c r="AF53" s="96">
        <f t="shared" si="14"/>
        <v>0.2100256516864</v>
      </c>
      <c r="AG53" s="96">
        <f t="shared" si="15"/>
        <v>0.25324739403039997</v>
      </c>
      <c r="AH53" s="96">
        <f t="shared" si="16"/>
        <v>0.31423807489360001</v>
      </c>
    </row>
    <row r="54" spans="4:34" ht="18" x14ac:dyDescent="0.25">
      <c r="D54" s="107"/>
      <c r="E54" s="108"/>
      <c r="F54" s="109"/>
      <c r="O54" s="112">
        <v>0.49</v>
      </c>
      <c r="P54" s="113">
        <f t="shared" si="4"/>
        <v>0.33292484199999994</v>
      </c>
      <c r="S54" s="42">
        <v>0.49</v>
      </c>
      <c r="T54" s="96">
        <f t="shared" si="11"/>
        <v>0.36160000000000014</v>
      </c>
      <c r="U54" s="42"/>
      <c r="AC54" s="42">
        <v>43</v>
      </c>
      <c r="AD54" s="96">
        <f t="shared" si="12"/>
        <v>0.43</v>
      </c>
      <c r="AE54" s="96">
        <f t="shared" si="13"/>
        <v>0.29681500599999999</v>
      </c>
      <c r="AF54" s="96">
        <f t="shared" si="14"/>
        <v>0.21418170832960004</v>
      </c>
      <c r="AG54" s="96">
        <f t="shared" si="15"/>
        <v>0.25825873672060001</v>
      </c>
      <c r="AH54" s="96">
        <f t="shared" si="16"/>
        <v>0.32045632122790002</v>
      </c>
    </row>
    <row r="55" spans="4:34" ht="18" x14ac:dyDescent="0.25">
      <c r="D55" s="107"/>
      <c r="E55" s="108"/>
      <c r="F55" s="109"/>
      <c r="O55" s="110">
        <v>0.5</v>
      </c>
      <c r="P55" s="111">
        <f t="shared" si="4"/>
        <v>0.33925</v>
      </c>
      <c r="S55" s="42">
        <v>0.5</v>
      </c>
      <c r="T55" s="96">
        <v>0.37</v>
      </c>
      <c r="U55" s="42"/>
      <c r="AC55" s="42">
        <v>44</v>
      </c>
      <c r="AD55" s="96">
        <f t="shared" si="12"/>
        <v>0.44</v>
      </c>
      <c r="AE55" s="96">
        <f t="shared" si="13"/>
        <v>0.30263987200000003</v>
      </c>
      <c r="AF55" s="96">
        <f t="shared" si="14"/>
        <v>0.21838493163520004</v>
      </c>
      <c r="AG55" s="96">
        <f t="shared" si="15"/>
        <v>0.26332695262720007</v>
      </c>
      <c r="AH55" s="96">
        <f t="shared" si="16"/>
        <v>0.32674513780480008</v>
      </c>
    </row>
    <row r="56" spans="4:34" ht="18" x14ac:dyDescent="0.25">
      <c r="E56" s="43"/>
      <c r="F56" s="43"/>
      <c r="O56" s="110">
        <v>0.51</v>
      </c>
      <c r="P56" s="111">
        <f t="shared" si="4"/>
        <v>0.34567655800000002</v>
      </c>
      <c r="S56" s="42">
        <v>0.51</v>
      </c>
      <c r="T56" s="96">
        <f>T55+$U$57</f>
        <v>0.37680000000000002</v>
      </c>
      <c r="U56" s="42" t="s">
        <v>78</v>
      </c>
      <c r="AC56" s="42">
        <v>45</v>
      </c>
      <c r="AD56" s="96">
        <f t="shared" si="12"/>
        <v>0.45</v>
      </c>
      <c r="AE56" s="96">
        <f t="shared" si="13"/>
        <v>0.30853524999999998</v>
      </c>
      <c r="AF56" s="96">
        <f t="shared" si="14"/>
        <v>0.22263903639999999</v>
      </c>
      <c r="AG56" s="96">
        <f t="shared" si="15"/>
        <v>0.26845652102500001</v>
      </c>
      <c r="AH56" s="96">
        <f t="shared" si="16"/>
        <v>0.33311008266250003</v>
      </c>
    </row>
    <row r="57" spans="4:34" ht="18" x14ac:dyDescent="0.25">
      <c r="E57" s="43"/>
      <c r="F57" s="43"/>
      <c r="O57" s="110">
        <v>0.52</v>
      </c>
      <c r="P57" s="111">
        <f t="shared" si="4"/>
        <v>0.35220966399999998</v>
      </c>
      <c r="S57" s="42">
        <v>0.52</v>
      </c>
      <c r="T57" s="96">
        <f t="shared" ref="T57:T79" si="17">T56+$U$57</f>
        <v>0.38360000000000005</v>
      </c>
      <c r="U57" s="42">
        <f>(T80-T55)/25</f>
        <v>6.8000000000000014E-3</v>
      </c>
      <c r="AC57" s="42">
        <v>46</v>
      </c>
      <c r="AD57" s="96">
        <f t="shared" si="12"/>
        <v>0.46</v>
      </c>
      <c r="AE57" s="96">
        <f t="shared" si="13"/>
        <v>0.31450628800000002</v>
      </c>
      <c r="AF57" s="96">
        <f t="shared" si="14"/>
        <v>0.22694773742080004</v>
      </c>
      <c r="AG57" s="96">
        <f t="shared" si="15"/>
        <v>0.27365192118880005</v>
      </c>
      <c r="AH57" s="96">
        <f t="shared" si="16"/>
        <v>0.33955671383920005</v>
      </c>
    </row>
    <row r="58" spans="4:34" ht="18" x14ac:dyDescent="0.25">
      <c r="E58" s="43"/>
      <c r="F58" s="43"/>
      <c r="O58" s="110">
        <v>0.53</v>
      </c>
      <c r="P58" s="111">
        <f t="shared" si="4"/>
        <v>0.35885446599999998</v>
      </c>
      <c r="S58" s="42">
        <v>0.53</v>
      </c>
      <c r="T58" s="96">
        <f t="shared" si="17"/>
        <v>0.39040000000000008</v>
      </c>
      <c r="U58" s="42"/>
      <c r="AC58" s="42">
        <v>47</v>
      </c>
      <c r="AD58" s="96">
        <f t="shared" si="12"/>
        <v>0.47</v>
      </c>
      <c r="AE58" s="96">
        <f t="shared" si="13"/>
        <v>0.32055813399999999</v>
      </c>
      <c r="AF58" s="96">
        <f t="shared" si="14"/>
        <v>0.23131474949440001</v>
      </c>
      <c r="AG58" s="96">
        <f t="shared" si="15"/>
        <v>0.27891763239340006</v>
      </c>
      <c r="AH58" s="96">
        <f t="shared" si="16"/>
        <v>0.34609058937310005</v>
      </c>
    </row>
    <row r="59" spans="4:34" ht="18" x14ac:dyDescent="0.25">
      <c r="E59" s="43"/>
      <c r="F59" s="43"/>
      <c r="O59" s="110">
        <v>0.54</v>
      </c>
      <c r="P59" s="111">
        <f t="shared" si="4"/>
        <v>0.36561611200000005</v>
      </c>
      <c r="S59" s="42">
        <v>0.54</v>
      </c>
      <c r="T59" s="96">
        <f t="shared" si="17"/>
        <v>0.39720000000000011</v>
      </c>
      <c r="U59" s="42"/>
      <c r="AC59" s="42">
        <v>48</v>
      </c>
      <c r="AD59" s="96">
        <f t="shared" si="12"/>
        <v>0.48</v>
      </c>
      <c r="AE59" s="96">
        <f t="shared" si="13"/>
        <v>0.32669593599999996</v>
      </c>
      <c r="AF59" s="96">
        <f t="shared" si="14"/>
        <v>0.23574378741759999</v>
      </c>
      <c r="AG59" s="96">
        <f t="shared" si="15"/>
        <v>0.2842581339136</v>
      </c>
      <c r="AH59" s="96">
        <f t="shared" si="16"/>
        <v>0.35271726730239999</v>
      </c>
    </row>
    <row r="60" spans="4:34" ht="18" x14ac:dyDescent="0.25">
      <c r="E60" s="43"/>
      <c r="F60" s="43"/>
      <c r="O60" s="110">
        <v>0.55000000000000004</v>
      </c>
      <c r="P60" s="111">
        <f t="shared" si="4"/>
        <v>0.37249974999999996</v>
      </c>
      <c r="S60" s="42">
        <v>0.55000000000000004</v>
      </c>
      <c r="T60" s="96">
        <f t="shared" si="17"/>
        <v>0.40400000000000014</v>
      </c>
      <c r="U60" s="42"/>
      <c r="AC60" s="42">
        <v>49</v>
      </c>
      <c r="AD60" s="96">
        <f t="shared" si="12"/>
        <v>0.49</v>
      </c>
      <c r="AE60" s="96">
        <f t="shared" si="13"/>
        <v>0.33292484199999994</v>
      </c>
      <c r="AF60" s="96">
        <f t="shared" si="14"/>
        <v>0.24023856598719998</v>
      </c>
      <c r="AG60" s="96">
        <f t="shared" si="15"/>
        <v>0.28967790502420004</v>
      </c>
      <c r="AH60" s="96">
        <f t="shared" si="16"/>
        <v>0.35944230566529994</v>
      </c>
    </row>
    <row r="61" spans="4:34" ht="18" x14ac:dyDescent="0.25">
      <c r="O61" s="110">
        <v>0.56000000000000005</v>
      </c>
      <c r="P61" s="111">
        <f t="shared" si="4"/>
        <v>0.37951052800000001</v>
      </c>
      <c r="S61" s="42">
        <v>0.56000000000000005</v>
      </c>
      <c r="T61" s="96">
        <f t="shared" si="17"/>
        <v>0.41080000000000017</v>
      </c>
      <c r="U61" s="42"/>
      <c r="AC61" s="42">
        <v>50</v>
      </c>
      <c r="AD61" s="96">
        <f t="shared" si="12"/>
        <v>0.5</v>
      </c>
      <c r="AE61" s="96">
        <f t="shared" si="13"/>
        <v>0.33925</v>
      </c>
      <c r="AF61" s="96">
        <f t="shared" si="14"/>
        <v>0.24480280000000001</v>
      </c>
      <c r="AG61" s="96">
        <f t="shared" si="15"/>
        <v>0.29518142500000005</v>
      </c>
      <c r="AH61" s="96">
        <f t="shared" si="16"/>
        <v>0.36627126250000008</v>
      </c>
    </row>
    <row r="62" spans="4:34" ht="18" x14ac:dyDescent="0.25">
      <c r="O62" s="110">
        <v>0.56999999999999995</v>
      </c>
      <c r="P62" s="111">
        <f t="shared" si="4"/>
        <v>0.38665359399999993</v>
      </c>
      <c r="S62" s="42">
        <v>0.56999999999999995</v>
      </c>
      <c r="T62" s="96">
        <f t="shared" si="17"/>
        <v>0.41760000000000019</v>
      </c>
      <c r="U62" s="42"/>
      <c r="AC62" s="42">
        <v>51</v>
      </c>
      <c r="AD62" s="96">
        <f t="shared" si="12"/>
        <v>0.51</v>
      </c>
      <c r="AE62" s="96">
        <f t="shared" si="13"/>
        <v>0.34567655800000002</v>
      </c>
      <c r="AF62" s="96">
        <f t="shared" si="14"/>
        <v>0.24944020425280006</v>
      </c>
      <c r="AG62" s="96">
        <f t="shared" si="15"/>
        <v>0.30077317311580004</v>
      </c>
      <c r="AH62" s="96">
        <f t="shared" si="16"/>
        <v>0.37320969584470004</v>
      </c>
    </row>
    <row r="63" spans="4:34" ht="18" x14ac:dyDescent="0.25">
      <c r="O63" s="110">
        <v>0.57999999999999996</v>
      </c>
      <c r="P63" s="111">
        <f t="shared" si="4"/>
        <v>0.3939340959999999</v>
      </c>
      <c r="S63" s="42">
        <v>0.57999999999999996</v>
      </c>
      <c r="T63" s="96">
        <f t="shared" si="17"/>
        <v>0.42440000000000022</v>
      </c>
      <c r="U63" s="42"/>
      <c r="AC63" s="42">
        <v>52</v>
      </c>
      <c r="AD63" s="96">
        <f t="shared" si="12"/>
        <v>0.52</v>
      </c>
      <c r="AE63" s="96">
        <f t="shared" si="13"/>
        <v>0.35220966399999998</v>
      </c>
      <c r="AF63" s="96">
        <f t="shared" si="14"/>
        <v>0.2541544935424</v>
      </c>
      <c r="AG63" s="96">
        <f t="shared" si="15"/>
        <v>0.30645762864639997</v>
      </c>
      <c r="AH63" s="96">
        <f t="shared" si="16"/>
        <v>0.3802631637376</v>
      </c>
    </row>
    <row r="64" spans="4:34" ht="18.75" thickBot="1" x14ac:dyDescent="0.3">
      <c r="O64" s="114">
        <v>0.59</v>
      </c>
      <c r="P64" s="115">
        <f t="shared" si="4"/>
        <v>0.40135718199999998</v>
      </c>
      <c r="S64" s="42">
        <v>0.59</v>
      </c>
      <c r="T64" s="96">
        <f t="shared" si="17"/>
        <v>0.43120000000000025</v>
      </c>
      <c r="U64" s="42"/>
      <c r="AC64" s="42">
        <v>53</v>
      </c>
      <c r="AD64" s="96">
        <f t="shared" si="12"/>
        <v>0.53</v>
      </c>
      <c r="AE64" s="96">
        <f t="shared" si="13"/>
        <v>0.35885446599999998</v>
      </c>
      <c r="AF64" s="96">
        <f t="shared" si="14"/>
        <v>0.25894938266560003</v>
      </c>
      <c r="AG64" s="96">
        <f t="shared" si="15"/>
        <v>0.31223927086659997</v>
      </c>
      <c r="AH64" s="96">
        <f t="shared" si="16"/>
        <v>0.38743722421690002</v>
      </c>
    </row>
    <row r="65" spans="15:34" ht="18" x14ac:dyDescent="0.25">
      <c r="O65" s="110">
        <v>0.6</v>
      </c>
      <c r="P65" s="111">
        <f t="shared" si="4"/>
        <v>0.40892799999999996</v>
      </c>
      <c r="S65" s="42">
        <v>0.6</v>
      </c>
      <c r="T65" s="96">
        <f t="shared" si="17"/>
        <v>0.43800000000000028</v>
      </c>
      <c r="U65" s="42"/>
      <c r="AC65" s="42">
        <v>54</v>
      </c>
      <c r="AD65" s="96">
        <f t="shared" si="12"/>
        <v>0.54</v>
      </c>
      <c r="AE65" s="96">
        <f t="shared" si="13"/>
        <v>0.36561611200000005</v>
      </c>
      <c r="AF65" s="96">
        <f t="shared" si="14"/>
        <v>0.2638285864192001</v>
      </c>
      <c r="AG65" s="96">
        <f t="shared" si="15"/>
        <v>0.31812257905120012</v>
      </c>
      <c r="AH65" s="96">
        <f t="shared" si="16"/>
        <v>0.39473743532080008</v>
      </c>
    </row>
    <row r="66" spans="15:34" ht="18" x14ac:dyDescent="0.25">
      <c r="O66" s="110">
        <v>0.61</v>
      </c>
      <c r="P66" s="111">
        <f t="shared" si="4"/>
        <v>0.41665169799999996</v>
      </c>
      <c r="S66" s="42">
        <v>0.61</v>
      </c>
      <c r="T66" s="96">
        <f t="shared" si="17"/>
        <v>0.44480000000000031</v>
      </c>
      <c r="U66" s="42"/>
      <c r="AC66" s="42">
        <v>55</v>
      </c>
      <c r="AD66" s="96">
        <f t="shared" si="12"/>
        <v>0.55000000000000004</v>
      </c>
      <c r="AE66" s="96">
        <f t="shared" si="13"/>
        <v>0.37249974999999996</v>
      </c>
      <c r="AF66" s="96">
        <f t="shared" si="14"/>
        <v>0.26879581960000004</v>
      </c>
      <c r="AG66" s="96">
        <f t="shared" si="15"/>
        <v>0.32411203247499998</v>
      </c>
      <c r="AH66" s="96">
        <f t="shared" si="16"/>
        <v>0.40216935508750001</v>
      </c>
    </row>
    <row r="67" spans="15:34" ht="18" x14ac:dyDescent="0.25">
      <c r="O67" s="110">
        <v>0.62</v>
      </c>
      <c r="P67" s="111">
        <f t="shared" si="4"/>
        <v>0.42453342399999999</v>
      </c>
      <c r="S67" s="42">
        <v>0.62</v>
      </c>
      <c r="T67" s="96">
        <f t="shared" si="17"/>
        <v>0.45160000000000033</v>
      </c>
      <c r="U67" s="42"/>
      <c r="AC67" s="42">
        <v>56</v>
      </c>
      <c r="AD67" s="96">
        <f t="shared" si="12"/>
        <v>0.56000000000000005</v>
      </c>
      <c r="AE67" s="96">
        <f t="shared" si="13"/>
        <v>0.37951052800000001</v>
      </c>
      <c r="AF67" s="96">
        <f t="shared" si="14"/>
        <v>0.27385479700480003</v>
      </c>
      <c r="AG67" s="96">
        <f t="shared" si="15"/>
        <v>0.33021211041280008</v>
      </c>
      <c r="AH67" s="96">
        <f t="shared" si="16"/>
        <v>0.40973854155520006</v>
      </c>
    </row>
    <row r="68" spans="15:34" ht="18" x14ac:dyDescent="0.25">
      <c r="O68" s="110">
        <v>0.63</v>
      </c>
      <c r="P68" s="111">
        <f t="shared" si="4"/>
        <v>0.43257832599999996</v>
      </c>
      <c r="S68" s="42">
        <v>0.63</v>
      </c>
      <c r="T68" s="96">
        <f t="shared" si="17"/>
        <v>0.45840000000000036</v>
      </c>
      <c r="U68" s="42"/>
      <c r="AC68" s="42">
        <v>57</v>
      </c>
      <c r="AD68" s="96">
        <f t="shared" si="12"/>
        <v>0.56999999999999995</v>
      </c>
      <c r="AE68" s="96">
        <f t="shared" si="13"/>
        <v>0.38665359399999993</v>
      </c>
      <c r="AF68" s="96">
        <f t="shared" si="14"/>
        <v>0.27900923343039996</v>
      </c>
      <c r="AG68" s="96">
        <f t="shared" si="15"/>
        <v>0.33642729213939998</v>
      </c>
      <c r="AH68" s="96">
        <f t="shared" si="16"/>
        <v>0.41745055276209997</v>
      </c>
    </row>
    <row r="69" spans="15:34" ht="18" x14ac:dyDescent="0.25">
      <c r="O69" s="110">
        <v>0.64</v>
      </c>
      <c r="P69" s="111">
        <f t="shared" ref="P69:P105" si="18">0.858*O69^3-0.78*O69^2+0.774*O69+0.04</f>
        <v>0.44079155199999998</v>
      </c>
      <c r="S69" s="42">
        <v>0.64</v>
      </c>
      <c r="T69" s="96">
        <f t="shared" si="17"/>
        <v>0.46520000000000039</v>
      </c>
      <c r="U69" s="42"/>
      <c r="AC69" s="42">
        <v>58</v>
      </c>
      <c r="AD69" s="96">
        <f t="shared" si="12"/>
        <v>0.57999999999999996</v>
      </c>
      <c r="AE69" s="96">
        <f t="shared" si="13"/>
        <v>0.3939340959999999</v>
      </c>
      <c r="AF69" s="96">
        <f t="shared" si="14"/>
        <v>0.2842628436736</v>
      </c>
      <c r="AG69" s="96">
        <f t="shared" si="15"/>
        <v>0.34276205692959993</v>
      </c>
      <c r="AH69" s="96">
        <f t="shared" si="16"/>
        <v>0.42531094674639991</v>
      </c>
    </row>
    <row r="70" spans="15:34" ht="18" x14ac:dyDescent="0.25">
      <c r="O70" s="110">
        <v>0.65</v>
      </c>
      <c r="P70" s="111">
        <f t="shared" si="18"/>
        <v>0.44917824999999995</v>
      </c>
      <c r="S70" s="42">
        <v>0.65</v>
      </c>
      <c r="T70" s="96">
        <f t="shared" si="17"/>
        <v>0.47200000000000042</v>
      </c>
      <c r="U70" s="42"/>
      <c r="AC70" s="42">
        <v>59</v>
      </c>
      <c r="AD70" s="96">
        <f t="shared" si="12"/>
        <v>0.59</v>
      </c>
      <c r="AE70" s="96">
        <f t="shared" si="13"/>
        <v>0.40135718199999998</v>
      </c>
      <c r="AF70" s="96">
        <f t="shared" si="14"/>
        <v>0.28961934253120003</v>
      </c>
      <c r="AG70" s="96">
        <f t="shared" si="15"/>
        <v>0.34922088405820001</v>
      </c>
      <c r="AH70" s="96">
        <f t="shared" si="16"/>
        <v>0.43332528154630007</v>
      </c>
    </row>
    <row r="71" spans="15:34" ht="18" x14ac:dyDescent="0.25">
      <c r="O71" s="110">
        <v>0.66</v>
      </c>
      <c r="P71" s="111">
        <f t="shared" si="18"/>
        <v>0.45774356799999999</v>
      </c>
      <c r="S71" s="42">
        <v>0.66</v>
      </c>
      <c r="T71" s="96">
        <f t="shared" si="17"/>
        <v>0.47880000000000045</v>
      </c>
      <c r="U71" s="42"/>
      <c r="AC71" s="42">
        <v>60</v>
      </c>
      <c r="AD71" s="96">
        <f t="shared" si="12"/>
        <v>0.6</v>
      </c>
      <c r="AE71" s="96">
        <f t="shared" si="13"/>
        <v>0.40892799999999996</v>
      </c>
      <c r="AF71" s="96">
        <f t="shared" si="14"/>
        <v>0.29508244480000001</v>
      </c>
      <c r="AG71" s="96">
        <f t="shared" si="15"/>
        <v>0.35580825280000006</v>
      </c>
      <c r="AH71" s="96">
        <f t="shared" si="16"/>
        <v>0.44149911520000001</v>
      </c>
    </row>
    <row r="72" spans="15:34" ht="18" x14ac:dyDescent="0.25">
      <c r="O72" s="110">
        <v>0.67</v>
      </c>
      <c r="P72" s="111">
        <f t="shared" si="18"/>
        <v>0.46649265400000001</v>
      </c>
      <c r="S72" s="42">
        <v>0.67</v>
      </c>
      <c r="T72" s="96">
        <f t="shared" si="17"/>
        <v>0.48560000000000048</v>
      </c>
      <c r="U72" s="42"/>
      <c r="AC72" s="42">
        <v>61</v>
      </c>
      <c r="AD72" s="96">
        <f t="shared" si="12"/>
        <v>0.61</v>
      </c>
      <c r="AE72" s="96">
        <f t="shared" si="13"/>
        <v>0.41665169799999996</v>
      </c>
      <c r="AF72" s="96">
        <f t="shared" si="14"/>
        <v>0.30065586527679999</v>
      </c>
      <c r="AG72" s="96">
        <f t="shared" si="15"/>
        <v>0.36252864242980004</v>
      </c>
      <c r="AH72" s="96">
        <f t="shared" si="16"/>
        <v>0.44983800574569999</v>
      </c>
    </row>
    <row r="73" spans="15:34" ht="18" x14ac:dyDescent="0.25">
      <c r="O73" s="110">
        <v>0.68</v>
      </c>
      <c r="P73" s="111">
        <f t="shared" si="18"/>
        <v>0.47543065599999995</v>
      </c>
      <c r="S73" s="42">
        <v>0.68</v>
      </c>
      <c r="T73" s="96">
        <f t="shared" si="17"/>
        <v>0.4924000000000005</v>
      </c>
      <c r="U73" s="42"/>
      <c r="AC73" s="42">
        <v>62</v>
      </c>
      <c r="AD73" s="96">
        <f t="shared" si="12"/>
        <v>0.62</v>
      </c>
      <c r="AE73" s="96">
        <f t="shared" si="13"/>
        <v>0.42453342399999999</v>
      </c>
      <c r="AF73" s="96">
        <f t="shared" si="14"/>
        <v>0.30634331875839999</v>
      </c>
      <c r="AG73" s="96">
        <f t="shared" si="15"/>
        <v>0.36938653222240003</v>
      </c>
      <c r="AH73" s="96">
        <f t="shared" si="16"/>
        <v>0.45834751122160006</v>
      </c>
    </row>
    <row r="74" spans="15:34" ht="18" x14ac:dyDescent="0.25">
      <c r="O74" s="112">
        <v>0.69</v>
      </c>
      <c r="P74" s="113">
        <f t="shared" si="18"/>
        <v>0.48456272199999995</v>
      </c>
      <c r="S74" s="42">
        <v>0.69</v>
      </c>
      <c r="T74" s="96">
        <f t="shared" si="17"/>
        <v>0.49920000000000053</v>
      </c>
      <c r="U74" s="42"/>
      <c r="AC74" s="42">
        <v>63</v>
      </c>
      <c r="AD74" s="96">
        <f t="shared" si="12"/>
        <v>0.63</v>
      </c>
      <c r="AE74" s="96">
        <f t="shared" si="13"/>
        <v>0.43257832599999996</v>
      </c>
      <c r="AF74" s="96">
        <f t="shared" si="14"/>
        <v>0.31214852004159999</v>
      </c>
      <c r="AG74" s="96">
        <f t="shared" si="15"/>
        <v>0.37638640145260005</v>
      </c>
      <c r="AH74" s="96">
        <f t="shared" si="16"/>
        <v>0.46703318966590002</v>
      </c>
    </row>
    <row r="75" spans="15:34" ht="18" x14ac:dyDescent="0.25">
      <c r="O75" s="110">
        <v>0.7</v>
      </c>
      <c r="P75" s="111">
        <f t="shared" si="18"/>
        <v>0.49389399999999989</v>
      </c>
      <c r="S75" s="42">
        <v>0.7</v>
      </c>
      <c r="T75" s="96">
        <f t="shared" si="17"/>
        <v>0.50600000000000056</v>
      </c>
      <c r="U75" s="42"/>
      <c r="AC75" s="42">
        <v>64</v>
      </c>
      <c r="AD75" s="96">
        <f t="shared" si="12"/>
        <v>0.64</v>
      </c>
      <c r="AE75" s="96">
        <f t="shared" si="13"/>
        <v>0.44079155199999998</v>
      </c>
      <c r="AF75" s="96">
        <f t="shared" si="14"/>
        <v>0.3180751839232</v>
      </c>
      <c r="AG75" s="96">
        <f t="shared" si="15"/>
        <v>0.38353272939520006</v>
      </c>
      <c r="AH75" s="96">
        <f t="shared" si="16"/>
        <v>0.47590059911680005</v>
      </c>
    </row>
    <row r="76" spans="15:34" ht="18" x14ac:dyDescent="0.25">
      <c r="O76" s="110">
        <v>0.71</v>
      </c>
      <c r="P76" s="111">
        <f t="shared" si="18"/>
        <v>0.50342963800000007</v>
      </c>
      <c r="S76" s="42">
        <v>0.71</v>
      </c>
      <c r="T76" s="96">
        <f t="shared" si="17"/>
        <v>0.51280000000000059</v>
      </c>
      <c r="U76" s="42"/>
      <c r="AC76" s="42">
        <v>65</v>
      </c>
      <c r="AD76" s="96">
        <f t="shared" si="12"/>
        <v>0.65</v>
      </c>
      <c r="AE76" s="96">
        <f t="shared" si="13"/>
        <v>0.44917824999999995</v>
      </c>
      <c r="AF76" s="96">
        <f t="shared" si="14"/>
        <v>0.32412702520000003</v>
      </c>
      <c r="AG76" s="96">
        <f t="shared" si="15"/>
        <v>0.39082999532500001</v>
      </c>
      <c r="AH76" s="96">
        <f t="shared" si="16"/>
        <v>0.4849552976125</v>
      </c>
    </row>
    <row r="77" spans="15:34" ht="18" x14ac:dyDescent="0.25">
      <c r="O77" s="110">
        <v>0.72</v>
      </c>
      <c r="P77" s="111">
        <f t="shared" si="18"/>
        <v>0.51317478399999994</v>
      </c>
      <c r="S77" s="42">
        <v>0.72</v>
      </c>
      <c r="T77" s="96">
        <f t="shared" si="17"/>
        <v>0.51960000000000062</v>
      </c>
      <c r="U77" s="42"/>
      <c r="AC77" s="42">
        <v>66</v>
      </c>
      <c r="AD77" s="96">
        <f t="shared" si="12"/>
        <v>0.66</v>
      </c>
      <c r="AE77" s="96">
        <f t="shared" si="13"/>
        <v>0.45774356799999999</v>
      </c>
      <c r="AF77" s="96">
        <f t="shared" si="14"/>
        <v>0.33030775866880002</v>
      </c>
      <c r="AG77" s="96">
        <f t="shared" si="15"/>
        <v>0.39828267851680005</v>
      </c>
      <c r="AH77" s="96">
        <f t="shared" si="16"/>
        <v>0.49420284319120006</v>
      </c>
    </row>
    <row r="78" spans="15:34" ht="18" x14ac:dyDescent="0.25">
      <c r="O78" s="110">
        <v>0.73</v>
      </c>
      <c r="P78" s="111">
        <f t="shared" si="18"/>
        <v>0.52313458599999996</v>
      </c>
      <c r="S78">
        <v>0.73</v>
      </c>
      <c r="T78" s="96">
        <f t="shared" si="17"/>
        <v>0.52640000000000065</v>
      </c>
      <c r="AC78" s="42">
        <v>67</v>
      </c>
      <c r="AD78" s="96">
        <f t="shared" si="12"/>
        <v>0.67</v>
      </c>
      <c r="AE78" s="96">
        <f t="shared" si="13"/>
        <v>0.46649265400000001</v>
      </c>
      <c r="AF78" s="96">
        <f t="shared" si="14"/>
        <v>0.33662109912640004</v>
      </c>
      <c r="AG78" s="96">
        <f t="shared" si="15"/>
        <v>0.40589525824540001</v>
      </c>
      <c r="AH78" s="96">
        <f t="shared" si="16"/>
        <v>0.50364879389110007</v>
      </c>
    </row>
    <row r="79" spans="15:34" ht="18" x14ac:dyDescent="0.25">
      <c r="O79" s="110">
        <v>0.74</v>
      </c>
      <c r="P79" s="111">
        <f t="shared" si="18"/>
        <v>0.53331419199999996</v>
      </c>
      <c r="S79">
        <v>0.74</v>
      </c>
      <c r="T79" s="96">
        <f t="shared" si="17"/>
        <v>0.53320000000000067</v>
      </c>
      <c r="AC79" s="42">
        <v>68</v>
      </c>
      <c r="AD79" s="96">
        <f t="shared" si="12"/>
        <v>0.68</v>
      </c>
      <c r="AE79" s="96">
        <f t="shared" si="13"/>
        <v>0.47543065599999995</v>
      </c>
      <c r="AF79" s="96">
        <f t="shared" si="14"/>
        <v>0.34307076136960002</v>
      </c>
      <c r="AG79" s="96">
        <f t="shared" si="15"/>
        <v>0.41367221378559998</v>
      </c>
      <c r="AH79" s="96">
        <f t="shared" si="16"/>
        <v>0.51329870775039999</v>
      </c>
    </row>
    <row r="80" spans="15:34" ht="18" x14ac:dyDescent="0.25">
      <c r="O80" s="110">
        <v>0.75</v>
      </c>
      <c r="P80" s="111">
        <f t="shared" si="18"/>
        <v>0.54371875000000003</v>
      </c>
      <c r="S80">
        <v>0.75</v>
      </c>
      <c r="T80" s="116">
        <v>0.54</v>
      </c>
      <c r="U80" t="s">
        <v>78</v>
      </c>
      <c r="AC80" s="42">
        <v>69</v>
      </c>
      <c r="AD80" s="96">
        <f t="shared" si="12"/>
        <v>0.69</v>
      </c>
      <c r="AE80" s="96">
        <f t="shared" si="13"/>
        <v>0.48456272199999995</v>
      </c>
      <c r="AF80" s="96">
        <f t="shared" si="14"/>
        <v>0.34966046019520003</v>
      </c>
      <c r="AG80" s="96">
        <f t="shared" si="15"/>
        <v>0.42161802441220003</v>
      </c>
      <c r="AH80" s="96">
        <f t="shared" si="16"/>
        <v>0.5231581428073</v>
      </c>
    </row>
    <row r="81" spans="15:34" ht="18" x14ac:dyDescent="0.25">
      <c r="O81" s="110">
        <v>0.76</v>
      </c>
      <c r="P81" s="111">
        <f t="shared" si="18"/>
        <v>0.55435340799999999</v>
      </c>
      <c r="S81">
        <v>0.76</v>
      </c>
      <c r="T81" s="116">
        <f>T80+$U$81</f>
        <v>0.54760000000000009</v>
      </c>
      <c r="U81">
        <f>(T105-T80)/25</f>
        <v>7.5999999999999983E-3</v>
      </c>
      <c r="AC81" s="42">
        <v>70</v>
      </c>
      <c r="AD81" s="96">
        <f t="shared" si="12"/>
        <v>0.7</v>
      </c>
      <c r="AE81" s="96">
        <f t="shared" si="13"/>
        <v>0.49389399999999989</v>
      </c>
      <c r="AF81" s="96">
        <f t="shared" si="14"/>
        <v>0.35639391039999996</v>
      </c>
      <c r="AG81" s="96">
        <f t="shared" si="15"/>
        <v>0.42973716939999995</v>
      </c>
      <c r="AH81" s="96">
        <f t="shared" si="16"/>
        <v>0.53323265710000001</v>
      </c>
    </row>
    <row r="82" spans="15:34" ht="18" x14ac:dyDescent="0.25">
      <c r="O82" s="110">
        <v>0.77</v>
      </c>
      <c r="P82" s="111">
        <f t="shared" si="18"/>
        <v>0.56522331400000014</v>
      </c>
      <c r="S82">
        <v>0.77</v>
      </c>
      <c r="T82" s="116">
        <f t="shared" ref="T82:T104" si="19">T81+$U$81</f>
        <v>0.55520000000000014</v>
      </c>
      <c r="AC82" s="42">
        <v>71</v>
      </c>
      <c r="AD82" s="96">
        <f t="shared" si="12"/>
        <v>0.71</v>
      </c>
      <c r="AE82" s="96">
        <f t="shared" si="13"/>
        <v>0.50342963800000007</v>
      </c>
      <c r="AF82" s="96">
        <f t="shared" si="14"/>
        <v>0.36327482678080009</v>
      </c>
      <c r="AG82" s="96">
        <f t="shared" si="15"/>
        <v>0.43803412802380015</v>
      </c>
      <c r="AH82" s="96">
        <f t="shared" si="16"/>
        <v>0.54352780866670014</v>
      </c>
    </row>
    <row r="83" spans="15:34" ht="18" x14ac:dyDescent="0.25">
      <c r="O83" s="110">
        <v>0.78</v>
      </c>
      <c r="P83" s="111">
        <f t="shared" si="18"/>
        <v>0.5763336160000001</v>
      </c>
      <c r="S83">
        <v>0.78</v>
      </c>
      <c r="T83" s="116">
        <f t="shared" si="19"/>
        <v>0.56280000000000019</v>
      </c>
      <c r="AC83" s="42">
        <v>72</v>
      </c>
      <c r="AD83" s="96">
        <f t="shared" si="12"/>
        <v>0.72</v>
      </c>
      <c r="AE83" s="96">
        <f t="shared" si="13"/>
        <v>0.51317478399999994</v>
      </c>
      <c r="AF83" s="96">
        <f t="shared" si="14"/>
        <v>0.37030692413440003</v>
      </c>
      <c r="AG83" s="96">
        <f t="shared" si="15"/>
        <v>0.44651337955840004</v>
      </c>
      <c r="AH83" s="96">
        <f t="shared" si="16"/>
        <v>0.55404915554560008</v>
      </c>
    </row>
    <row r="84" spans="15:34" ht="18" x14ac:dyDescent="0.25">
      <c r="O84" s="112">
        <v>0.79</v>
      </c>
      <c r="P84" s="113">
        <f t="shared" si="18"/>
        <v>0.58768946199999994</v>
      </c>
      <c r="S84">
        <v>0.79</v>
      </c>
      <c r="T84" s="116">
        <f t="shared" si="19"/>
        <v>0.57040000000000024</v>
      </c>
      <c r="AC84" s="42">
        <v>73</v>
      </c>
      <c r="AD84" s="96">
        <f t="shared" si="12"/>
        <v>0.73</v>
      </c>
      <c r="AE84" s="96">
        <f t="shared" si="13"/>
        <v>0.52313458599999996</v>
      </c>
      <c r="AF84" s="96">
        <f t="shared" si="14"/>
        <v>0.37749391725760006</v>
      </c>
      <c r="AG84" s="96">
        <f t="shared" si="15"/>
        <v>0.45517940327860001</v>
      </c>
      <c r="AH84" s="96">
        <f t="shared" si="16"/>
        <v>0.56480225577490006</v>
      </c>
    </row>
    <row r="85" spans="15:34" ht="18" x14ac:dyDescent="0.25">
      <c r="O85" s="110">
        <v>0.8</v>
      </c>
      <c r="P85" s="111">
        <f t="shared" si="18"/>
        <v>0.59929600000000005</v>
      </c>
      <c r="S85">
        <v>0.8</v>
      </c>
      <c r="T85" s="116">
        <f t="shared" si="19"/>
        <v>0.57800000000000029</v>
      </c>
      <c r="AC85" s="42">
        <v>74</v>
      </c>
      <c r="AD85" s="96">
        <f t="shared" si="12"/>
        <v>0.74</v>
      </c>
      <c r="AE85" s="96">
        <f t="shared" si="13"/>
        <v>0.53331419199999996</v>
      </c>
      <c r="AF85" s="96">
        <f t="shared" si="14"/>
        <v>0.38483952094720003</v>
      </c>
      <c r="AG85" s="96">
        <f t="shared" si="15"/>
        <v>0.46403667845919999</v>
      </c>
      <c r="AH85" s="96">
        <f t="shared" si="16"/>
        <v>0.57579266739279999</v>
      </c>
    </row>
    <row r="86" spans="15:34" ht="18" x14ac:dyDescent="0.25">
      <c r="O86" s="110">
        <v>0.81</v>
      </c>
      <c r="P86" s="111">
        <f t="shared" si="18"/>
        <v>0.61115837800000006</v>
      </c>
      <c r="S86">
        <v>0.81</v>
      </c>
      <c r="T86" s="116">
        <f t="shared" si="19"/>
        <v>0.58560000000000034</v>
      </c>
      <c r="AC86" s="42">
        <v>75</v>
      </c>
      <c r="AD86" s="96">
        <f t="shared" si="12"/>
        <v>0.75</v>
      </c>
      <c r="AE86" s="96">
        <f t="shared" si="13"/>
        <v>0.54371875000000003</v>
      </c>
      <c r="AF86" s="96">
        <f t="shared" si="14"/>
        <v>0.3923474500000001</v>
      </c>
      <c r="AG86" s="96">
        <f t="shared" si="15"/>
        <v>0.4730896843750001</v>
      </c>
      <c r="AH86" s="96">
        <f t="shared" si="16"/>
        <v>0.58702594843750011</v>
      </c>
    </row>
    <row r="87" spans="15:34" ht="18" x14ac:dyDescent="0.25">
      <c r="O87" s="110">
        <v>0.82</v>
      </c>
      <c r="P87" s="111">
        <f t="shared" si="18"/>
        <v>0.62328174400000003</v>
      </c>
      <c r="S87">
        <v>0.82000000000000095</v>
      </c>
      <c r="T87" s="116">
        <f t="shared" si="19"/>
        <v>0.59320000000000039</v>
      </c>
      <c r="AC87" s="42">
        <v>76</v>
      </c>
      <c r="AD87" s="96">
        <f t="shared" si="12"/>
        <v>0.76</v>
      </c>
      <c r="AE87" s="96">
        <f t="shared" si="13"/>
        <v>0.55435340799999999</v>
      </c>
      <c r="AF87" s="96">
        <f t="shared" si="14"/>
        <v>0.40002141921280004</v>
      </c>
      <c r="AG87" s="96">
        <f t="shared" si="15"/>
        <v>0.48234290030080007</v>
      </c>
      <c r="AH87" s="96">
        <f t="shared" si="16"/>
        <v>0.5985076569472001</v>
      </c>
    </row>
    <row r="88" spans="15:34" ht="18" x14ac:dyDescent="0.25">
      <c r="O88" s="110">
        <v>0.83</v>
      </c>
      <c r="P88" s="111">
        <f t="shared" si="18"/>
        <v>0.63567124600000002</v>
      </c>
      <c r="S88">
        <v>0.83000000000000096</v>
      </c>
      <c r="T88" s="116">
        <f t="shared" si="19"/>
        <v>0.60080000000000044</v>
      </c>
      <c r="AC88" s="42">
        <v>77</v>
      </c>
      <c r="AD88" s="96">
        <f t="shared" si="12"/>
        <v>0.77</v>
      </c>
      <c r="AE88" s="96">
        <f t="shared" si="13"/>
        <v>0.56522331400000014</v>
      </c>
      <c r="AF88" s="96">
        <f t="shared" si="14"/>
        <v>0.40786514338240015</v>
      </c>
      <c r="AG88" s="96">
        <f t="shared" si="15"/>
        <v>0.49180080551140021</v>
      </c>
      <c r="AH88" s="96">
        <f t="shared" si="16"/>
        <v>0.61024335096010018</v>
      </c>
    </row>
    <row r="89" spans="15:34" ht="18" x14ac:dyDescent="0.25">
      <c r="O89" s="110">
        <v>0.84</v>
      </c>
      <c r="P89" s="111">
        <f t="shared" si="18"/>
        <v>0.64833203199999989</v>
      </c>
      <c r="S89">
        <v>0.84000000000000097</v>
      </c>
      <c r="T89" s="116">
        <f t="shared" si="19"/>
        <v>0.6084000000000005</v>
      </c>
      <c r="AC89" s="42">
        <v>78</v>
      </c>
      <c r="AD89" s="96">
        <f t="shared" si="12"/>
        <v>0.78</v>
      </c>
      <c r="AE89" s="96">
        <f t="shared" si="13"/>
        <v>0.5763336160000001</v>
      </c>
      <c r="AF89" s="96">
        <f t="shared" si="14"/>
        <v>0.41588233730560009</v>
      </c>
      <c r="AG89" s="96">
        <f t="shared" si="15"/>
        <v>0.50146787928160019</v>
      </c>
      <c r="AH89" s="96">
        <f t="shared" si="16"/>
        <v>0.62223858851440028</v>
      </c>
    </row>
    <row r="90" spans="15:34" ht="18" x14ac:dyDescent="0.25">
      <c r="O90" s="110">
        <v>0.85</v>
      </c>
      <c r="P90" s="111">
        <f t="shared" si="18"/>
        <v>0.66126925000000003</v>
      </c>
      <c r="S90">
        <v>0.85000000000000098</v>
      </c>
      <c r="T90" s="116">
        <f t="shared" si="19"/>
        <v>0.61600000000000055</v>
      </c>
      <c r="AC90" s="42">
        <v>79</v>
      </c>
      <c r="AD90" s="96">
        <f t="shared" si="12"/>
        <v>0.79</v>
      </c>
      <c r="AE90" s="96">
        <f t="shared" si="13"/>
        <v>0.58768946199999994</v>
      </c>
      <c r="AF90" s="96">
        <f t="shared" si="14"/>
        <v>0.42407671577920003</v>
      </c>
      <c r="AG90" s="96">
        <f t="shared" si="15"/>
        <v>0.51134860088620004</v>
      </c>
      <c r="AH90" s="96">
        <f t="shared" si="16"/>
        <v>0.63449892764830007</v>
      </c>
    </row>
    <row r="91" spans="15:34" ht="18" x14ac:dyDescent="0.25">
      <c r="O91" s="110">
        <v>0.86</v>
      </c>
      <c r="P91" s="111">
        <f t="shared" si="18"/>
        <v>0.67448804800000006</v>
      </c>
      <c r="S91">
        <v>0.86000000000000099</v>
      </c>
      <c r="T91" s="116">
        <f t="shared" si="19"/>
        <v>0.6236000000000006</v>
      </c>
      <c r="AC91" s="42">
        <v>80</v>
      </c>
      <c r="AD91" s="96">
        <f t="shared" si="12"/>
        <v>0.8</v>
      </c>
      <c r="AE91" s="96">
        <f t="shared" si="13"/>
        <v>0.59929600000000005</v>
      </c>
      <c r="AF91" s="96">
        <f t="shared" si="14"/>
        <v>0.43245199360000008</v>
      </c>
      <c r="AG91" s="96">
        <f t="shared" si="15"/>
        <v>0.52144744960000011</v>
      </c>
      <c r="AH91" s="96">
        <f t="shared" si="16"/>
        <v>0.64702992640000012</v>
      </c>
    </row>
    <row r="92" spans="15:34" ht="18" x14ac:dyDescent="0.25">
      <c r="O92" s="110">
        <v>0.87</v>
      </c>
      <c r="P92" s="111">
        <f t="shared" si="18"/>
        <v>0.68799357399999994</v>
      </c>
      <c r="S92">
        <v>0.87000000000000099</v>
      </c>
      <c r="T92" s="116">
        <f t="shared" si="19"/>
        <v>0.63120000000000065</v>
      </c>
      <c r="AC92" s="42">
        <v>81</v>
      </c>
      <c r="AD92" s="96">
        <f t="shared" si="12"/>
        <v>0.81</v>
      </c>
      <c r="AE92" s="96">
        <f t="shared" si="13"/>
        <v>0.61115837800000006</v>
      </c>
      <c r="AF92" s="96">
        <f t="shared" si="14"/>
        <v>0.44101188556480009</v>
      </c>
      <c r="AG92" s="96">
        <f t="shared" si="15"/>
        <v>0.53176890469780014</v>
      </c>
      <c r="AH92" s="96">
        <f t="shared" si="16"/>
        <v>0.65983714280770012</v>
      </c>
    </row>
    <row r="93" spans="15:34" ht="33" customHeight="1" x14ac:dyDescent="0.25">
      <c r="O93" s="110">
        <v>0.88</v>
      </c>
      <c r="P93" s="111">
        <f t="shared" si="18"/>
        <v>0.70179097600000007</v>
      </c>
      <c r="S93">
        <v>0.880000000000001</v>
      </c>
      <c r="T93" s="116">
        <f t="shared" si="19"/>
        <v>0.6388000000000007</v>
      </c>
      <c r="AC93" s="42">
        <v>82</v>
      </c>
      <c r="AD93" s="96">
        <f t="shared" si="12"/>
        <v>0.82</v>
      </c>
      <c r="AE93" s="96">
        <f t="shared" si="13"/>
        <v>0.62328174400000003</v>
      </c>
      <c r="AF93" s="96">
        <f t="shared" si="14"/>
        <v>0.4497601064704001</v>
      </c>
      <c r="AG93" s="96">
        <f t="shared" si="15"/>
        <v>0.54231744545440008</v>
      </c>
      <c r="AH93" s="96">
        <f t="shared" si="16"/>
        <v>0.67292613490960018</v>
      </c>
    </row>
    <row r="94" spans="15:34" ht="33" customHeight="1" thickBot="1" x14ac:dyDescent="0.3">
      <c r="O94" s="114">
        <v>0.89</v>
      </c>
      <c r="P94" s="115">
        <f t="shared" si="18"/>
        <v>0.71588540200000006</v>
      </c>
      <c r="S94">
        <v>0.89000000000000101</v>
      </c>
      <c r="T94" s="116">
        <f t="shared" si="19"/>
        <v>0.64640000000000075</v>
      </c>
      <c r="AC94" s="42">
        <v>83</v>
      </c>
      <c r="AD94" s="96">
        <f t="shared" si="12"/>
        <v>0.83</v>
      </c>
      <c r="AE94" s="96">
        <f t="shared" si="13"/>
        <v>0.63567124600000002</v>
      </c>
      <c r="AF94" s="96">
        <f t="shared" si="14"/>
        <v>0.45870037111360007</v>
      </c>
      <c r="AG94" s="96">
        <f t="shared" si="15"/>
        <v>0.55309755114460002</v>
      </c>
      <c r="AH94" s="96">
        <f t="shared" si="16"/>
        <v>0.68630246074390011</v>
      </c>
    </row>
    <row r="95" spans="15:34" ht="33" customHeight="1" x14ac:dyDescent="0.25">
      <c r="O95" s="117">
        <v>0.9</v>
      </c>
      <c r="P95" s="93">
        <f t="shared" si="18"/>
        <v>0.7302820000000001</v>
      </c>
      <c r="S95">
        <v>0.90000000000000102</v>
      </c>
      <c r="T95" s="116">
        <f t="shared" si="19"/>
        <v>0.6540000000000008</v>
      </c>
      <c r="AC95" s="42">
        <v>84</v>
      </c>
      <c r="AD95" s="96">
        <f t="shared" si="12"/>
        <v>0.84</v>
      </c>
      <c r="AE95" s="96">
        <f t="shared" si="13"/>
        <v>0.64833203199999989</v>
      </c>
      <c r="AF95" s="96">
        <f t="shared" si="14"/>
        <v>0.46783639429119994</v>
      </c>
      <c r="AG95" s="96">
        <f t="shared" si="15"/>
        <v>0.56411370104320002</v>
      </c>
      <c r="AH95" s="96">
        <f t="shared" si="16"/>
        <v>0.69997167834880003</v>
      </c>
    </row>
    <row r="96" spans="15:34" ht="33" customHeight="1" x14ac:dyDescent="0.25">
      <c r="O96" s="117">
        <v>0.91</v>
      </c>
      <c r="P96" s="93">
        <f t="shared" si="18"/>
        <v>0.74498591800000014</v>
      </c>
      <c r="S96">
        <v>0.91000000000000103</v>
      </c>
      <c r="T96" s="116">
        <f t="shared" si="19"/>
        <v>0.66160000000000085</v>
      </c>
      <c r="AC96" s="42">
        <v>85</v>
      </c>
      <c r="AD96" s="96">
        <f t="shared" ref="AD96:AD110" si="20">AC96/100</f>
        <v>0.85</v>
      </c>
      <c r="AE96" s="96">
        <f t="shared" ref="AE96:AE111" si="21">0.858*AD96^3-0.78*AD96^2+0.774*AD96+0.04</f>
        <v>0.66126925000000003</v>
      </c>
      <c r="AF96" s="96">
        <f t="shared" ref="AF96:AF111" si="22">$AE$4*AE96*$AE$7</f>
        <v>0.47717189080000005</v>
      </c>
      <c r="AG96" s="96">
        <f t="shared" ref="AG96:AG111" si="23">$AE$5*AE96*$AE$7</f>
        <v>0.57537037442500005</v>
      </c>
      <c r="AH96" s="96">
        <f t="shared" ref="AH96:AH111" si="24">$AE$6*AE96*$AE$7</f>
        <v>0.71393934576250007</v>
      </c>
    </row>
    <row r="97" spans="3:34" ht="33" customHeight="1" x14ac:dyDescent="0.25">
      <c r="O97" s="117">
        <v>0.92</v>
      </c>
      <c r="P97" s="93">
        <f t="shared" si="18"/>
        <v>0.76000230400000013</v>
      </c>
      <c r="S97">
        <v>0.92000000000000104</v>
      </c>
      <c r="T97" s="116">
        <f t="shared" si="19"/>
        <v>0.66920000000000091</v>
      </c>
      <c r="AC97" s="42">
        <v>86</v>
      </c>
      <c r="AD97" s="96">
        <f t="shared" si="20"/>
        <v>0.86</v>
      </c>
      <c r="AE97" s="96">
        <f t="shared" si="21"/>
        <v>0.67448804800000006</v>
      </c>
      <c r="AF97" s="96">
        <f t="shared" si="22"/>
        <v>0.48671057543680007</v>
      </c>
      <c r="AG97" s="96">
        <f t="shared" si="23"/>
        <v>0.58687205056480007</v>
      </c>
      <c r="AH97" s="96">
        <f t="shared" si="24"/>
        <v>0.72821102102320012</v>
      </c>
    </row>
    <row r="98" spans="3:34" ht="33" customHeight="1" x14ac:dyDescent="0.25">
      <c r="O98" s="117">
        <v>0.93</v>
      </c>
      <c r="P98" s="93">
        <f t="shared" si="18"/>
        <v>0.77533630599999992</v>
      </c>
      <c r="S98">
        <v>0.93000000000000105</v>
      </c>
      <c r="T98" s="116">
        <f t="shared" si="19"/>
        <v>0.67680000000000096</v>
      </c>
      <c r="AC98" s="42">
        <v>87</v>
      </c>
      <c r="AD98" s="96">
        <f t="shared" si="20"/>
        <v>0.87</v>
      </c>
      <c r="AE98" s="96">
        <f t="shared" si="21"/>
        <v>0.68799357399999994</v>
      </c>
      <c r="AF98" s="96">
        <f t="shared" si="22"/>
        <v>0.49645616299840001</v>
      </c>
      <c r="AG98" s="96">
        <f t="shared" si="23"/>
        <v>0.59862320873740005</v>
      </c>
      <c r="AH98" s="96">
        <f t="shared" si="24"/>
        <v>0.7427922621691001</v>
      </c>
    </row>
    <row r="99" spans="3:34" ht="33" customHeight="1" x14ac:dyDescent="0.25">
      <c r="O99" s="117">
        <v>0.94</v>
      </c>
      <c r="P99" s="93">
        <f t="shared" si="18"/>
        <v>0.79099307200000002</v>
      </c>
      <c r="S99">
        <v>0.94000000000000095</v>
      </c>
      <c r="T99" s="116">
        <f t="shared" si="19"/>
        <v>0.68440000000000101</v>
      </c>
      <c r="AC99" s="42">
        <v>88</v>
      </c>
      <c r="AD99" s="96">
        <f t="shared" si="20"/>
        <v>0.88</v>
      </c>
      <c r="AE99" s="96">
        <f t="shared" si="21"/>
        <v>0.70179097600000007</v>
      </c>
      <c r="AF99" s="96">
        <f t="shared" si="22"/>
        <v>0.50641236828160008</v>
      </c>
      <c r="AG99" s="96">
        <f t="shared" si="23"/>
        <v>0.61062832821760016</v>
      </c>
      <c r="AH99" s="96">
        <f t="shared" si="24"/>
        <v>0.75768862723840014</v>
      </c>
    </row>
    <row r="100" spans="3:34" ht="33" customHeight="1" x14ac:dyDescent="0.25">
      <c r="O100" s="117">
        <v>0.95</v>
      </c>
      <c r="P100" s="93">
        <f t="shared" si="18"/>
        <v>0.80697774999999994</v>
      </c>
      <c r="S100">
        <v>0.95000000000000095</v>
      </c>
      <c r="T100" s="116">
        <f t="shared" si="19"/>
        <v>0.69200000000000106</v>
      </c>
      <c r="AC100" s="42">
        <v>89</v>
      </c>
      <c r="AD100" s="96">
        <f t="shared" si="20"/>
        <v>0.89</v>
      </c>
      <c r="AE100" s="96">
        <f t="shared" si="21"/>
        <v>0.71588540200000006</v>
      </c>
      <c r="AF100" s="96">
        <f t="shared" si="22"/>
        <v>0.51658290608320012</v>
      </c>
      <c r="AG100" s="96">
        <f t="shared" si="23"/>
        <v>0.62289188828020015</v>
      </c>
      <c r="AH100" s="96">
        <f t="shared" si="24"/>
        <v>0.77290567426930024</v>
      </c>
    </row>
    <row r="101" spans="3:34" ht="33" customHeight="1" x14ac:dyDescent="0.25">
      <c r="O101" s="117">
        <v>0.96</v>
      </c>
      <c r="P101" s="93">
        <f t="shared" si="18"/>
        <v>0.82329548799999996</v>
      </c>
      <c r="S101">
        <v>0.96000000000000096</v>
      </c>
      <c r="T101" s="116">
        <f t="shared" si="19"/>
        <v>0.69960000000000111</v>
      </c>
      <c r="AC101" s="42">
        <v>90</v>
      </c>
      <c r="AD101" s="96">
        <f t="shared" si="20"/>
        <v>0.9</v>
      </c>
      <c r="AE101" s="96">
        <f t="shared" si="21"/>
        <v>0.7302820000000001</v>
      </c>
      <c r="AF101" s="96">
        <f t="shared" si="22"/>
        <v>0.52697149120000009</v>
      </c>
      <c r="AG101" s="96">
        <f t="shared" si="23"/>
        <v>0.63541836820000019</v>
      </c>
      <c r="AH101" s="96">
        <f t="shared" si="24"/>
        <v>0.7884489613000002</v>
      </c>
    </row>
    <row r="102" spans="3:34" ht="33" customHeight="1" x14ac:dyDescent="0.25">
      <c r="O102" s="117">
        <v>0.97</v>
      </c>
      <c r="P102" s="93">
        <f t="shared" si="18"/>
        <v>0.83995143400000005</v>
      </c>
      <c r="S102">
        <v>0.97000000000000097</v>
      </c>
      <c r="T102" s="116">
        <f t="shared" si="19"/>
        <v>0.70720000000000116</v>
      </c>
      <c r="AC102" s="42">
        <v>91</v>
      </c>
      <c r="AD102" s="96">
        <f t="shared" si="20"/>
        <v>0.91</v>
      </c>
      <c r="AE102" s="96">
        <f t="shared" si="21"/>
        <v>0.74498591800000014</v>
      </c>
      <c r="AF102" s="96">
        <f t="shared" si="22"/>
        <v>0.53758183842880014</v>
      </c>
      <c r="AG102" s="96">
        <f t="shared" si="23"/>
        <v>0.64821224725180016</v>
      </c>
      <c r="AH102" s="96">
        <f t="shared" si="24"/>
        <v>0.80432404636870025</v>
      </c>
    </row>
    <row r="103" spans="3:34" ht="33" customHeight="1" x14ac:dyDescent="0.25">
      <c r="O103" s="117">
        <v>0.98</v>
      </c>
      <c r="P103" s="93">
        <f t="shared" si="18"/>
        <v>0.85695073599999994</v>
      </c>
      <c r="S103">
        <v>0.98000000000000098</v>
      </c>
      <c r="T103" s="116">
        <f t="shared" si="19"/>
        <v>0.71480000000000121</v>
      </c>
      <c r="AC103" s="42">
        <v>92</v>
      </c>
      <c r="AD103" s="96">
        <f t="shared" si="20"/>
        <v>0.92</v>
      </c>
      <c r="AE103" s="96">
        <f t="shared" si="21"/>
        <v>0.76000230400000013</v>
      </c>
      <c r="AF103" s="96">
        <f t="shared" si="22"/>
        <v>0.54841766256640023</v>
      </c>
      <c r="AG103" s="96">
        <f t="shared" si="23"/>
        <v>0.66127800471040021</v>
      </c>
      <c r="AH103" s="96">
        <f t="shared" si="24"/>
        <v>0.8205364875136002</v>
      </c>
    </row>
    <row r="104" spans="3:34" ht="33" customHeight="1" x14ac:dyDescent="0.25">
      <c r="O104" s="117">
        <v>0.99</v>
      </c>
      <c r="P104" s="93">
        <f t="shared" si="18"/>
        <v>0.87429854200000001</v>
      </c>
      <c r="S104">
        <v>0.99000000000000099</v>
      </c>
      <c r="T104" s="116">
        <f t="shared" si="19"/>
        <v>0.72240000000000126</v>
      </c>
      <c r="AC104" s="42">
        <v>93</v>
      </c>
      <c r="AD104" s="96">
        <f t="shared" si="20"/>
        <v>0.93</v>
      </c>
      <c r="AE104" s="96">
        <f t="shared" si="21"/>
        <v>0.77533630599999992</v>
      </c>
      <c r="AF104" s="96">
        <f t="shared" si="22"/>
        <v>0.55948267840960009</v>
      </c>
      <c r="AG104" s="96">
        <f t="shared" si="23"/>
        <v>0.6746201198506</v>
      </c>
      <c r="AH104" s="96">
        <f t="shared" si="24"/>
        <v>0.83709184277290005</v>
      </c>
    </row>
    <row r="105" spans="3:34" ht="33" customHeight="1" thickBot="1" x14ac:dyDescent="0.3">
      <c r="O105" s="118">
        <v>1</v>
      </c>
      <c r="P105" s="102">
        <f t="shared" si="18"/>
        <v>0.89200000000000002</v>
      </c>
      <c r="S105">
        <v>1</v>
      </c>
      <c r="T105">
        <v>0.73</v>
      </c>
      <c r="AC105" s="42">
        <v>94</v>
      </c>
      <c r="AD105" s="96">
        <f t="shared" si="20"/>
        <v>0.94</v>
      </c>
      <c r="AE105" s="96">
        <f t="shared" si="21"/>
        <v>0.79099307200000002</v>
      </c>
      <c r="AF105" s="96">
        <f t="shared" si="22"/>
        <v>0.5707806007552001</v>
      </c>
      <c r="AG105" s="96">
        <f t="shared" si="23"/>
        <v>0.68824307194720002</v>
      </c>
      <c r="AH105" s="96">
        <f t="shared" si="24"/>
        <v>0.85399567018480016</v>
      </c>
    </row>
    <row r="106" spans="3:34" ht="33" customHeight="1" x14ac:dyDescent="0.25">
      <c r="AC106" s="42">
        <v>95</v>
      </c>
      <c r="AD106" s="96">
        <f t="shared" si="20"/>
        <v>0.95</v>
      </c>
      <c r="AE106" s="96">
        <f t="shared" si="21"/>
        <v>0.80697774999999994</v>
      </c>
      <c r="AF106" s="96">
        <f t="shared" si="22"/>
        <v>0.5823151444000001</v>
      </c>
      <c r="AG106" s="96">
        <f t="shared" si="23"/>
        <v>0.70215134027500004</v>
      </c>
      <c r="AH106" s="96">
        <f t="shared" si="24"/>
        <v>0.87125352778750009</v>
      </c>
    </row>
    <row r="107" spans="3:34" ht="33" customHeight="1" x14ac:dyDescent="0.25">
      <c r="C107" s="119"/>
      <c r="AC107" s="42">
        <v>96</v>
      </c>
      <c r="AD107" s="96">
        <f t="shared" si="20"/>
        <v>0.96</v>
      </c>
      <c r="AE107" s="96">
        <f t="shared" si="21"/>
        <v>0.82329548799999996</v>
      </c>
      <c r="AF107" s="96">
        <f t="shared" si="22"/>
        <v>0.59409002414080003</v>
      </c>
      <c r="AG107" s="96">
        <f t="shared" si="23"/>
        <v>0.7163494041088001</v>
      </c>
      <c r="AH107" s="96">
        <f t="shared" si="24"/>
        <v>0.88887097361920009</v>
      </c>
    </row>
    <row r="108" spans="3:34" ht="33" customHeight="1" x14ac:dyDescent="0.25">
      <c r="C108" s="119"/>
      <c r="AC108" s="42">
        <v>97</v>
      </c>
      <c r="AD108" s="96">
        <f t="shared" si="20"/>
        <v>0.97</v>
      </c>
      <c r="AE108" s="96">
        <f t="shared" si="21"/>
        <v>0.83995143400000005</v>
      </c>
      <c r="AF108" s="96">
        <f t="shared" si="22"/>
        <v>0.60610895477440008</v>
      </c>
      <c r="AG108" s="96">
        <f t="shared" si="23"/>
        <v>0.73084174272340019</v>
      </c>
      <c r="AH108" s="96">
        <f t="shared" si="24"/>
        <v>0.90685356571810016</v>
      </c>
    </row>
    <row r="109" spans="3:34" ht="33" customHeight="1" x14ac:dyDescent="0.25">
      <c r="C109" s="119"/>
      <c r="AC109" s="42">
        <v>98</v>
      </c>
      <c r="AD109" s="96">
        <f t="shared" si="20"/>
        <v>0.98</v>
      </c>
      <c r="AE109" s="96">
        <f t="shared" si="21"/>
        <v>0.85695073599999994</v>
      </c>
      <c r="AF109" s="96">
        <f t="shared" si="22"/>
        <v>0.61837565109759995</v>
      </c>
      <c r="AG109" s="96">
        <f t="shared" si="23"/>
        <v>0.74563283539360004</v>
      </c>
      <c r="AH109" s="96">
        <f t="shared" si="24"/>
        <v>0.92520686212240011</v>
      </c>
    </row>
    <row r="110" spans="3:34" ht="33" customHeight="1" x14ac:dyDescent="0.25">
      <c r="C110" s="119"/>
      <c r="AC110" s="42">
        <v>99</v>
      </c>
      <c r="AD110" s="96">
        <f t="shared" si="20"/>
        <v>0.99</v>
      </c>
      <c r="AE110" s="96">
        <f t="shared" si="21"/>
        <v>0.87429854200000001</v>
      </c>
      <c r="AF110" s="96">
        <f t="shared" si="22"/>
        <v>0.63089382790720006</v>
      </c>
      <c r="AG110" s="96">
        <f t="shared" si="23"/>
        <v>0.76072716139420005</v>
      </c>
      <c r="AH110" s="96">
        <f t="shared" si="24"/>
        <v>0.94393642087030016</v>
      </c>
    </row>
    <row r="111" spans="3:34" ht="33" customHeight="1" x14ac:dyDescent="0.25">
      <c r="C111" s="119"/>
      <c r="AC111" s="42">
        <v>100</v>
      </c>
      <c r="AD111" s="96">
        <v>1</v>
      </c>
      <c r="AE111" s="96">
        <f t="shared" si="21"/>
        <v>0.89200000000000002</v>
      </c>
      <c r="AF111" s="96">
        <f t="shared" si="22"/>
        <v>0.64366720000000011</v>
      </c>
      <c r="AG111" s="96">
        <f t="shared" si="23"/>
        <v>0.77612920000000019</v>
      </c>
      <c r="AH111" s="96">
        <f t="shared" si="24"/>
        <v>0.96304780000000012</v>
      </c>
    </row>
    <row r="112" spans="3:34" ht="33" customHeight="1" x14ac:dyDescent="0.25">
      <c r="C112" s="119"/>
    </row>
    <row r="113" spans="3:3" ht="33" customHeight="1" x14ac:dyDescent="0.25">
      <c r="C113" s="119"/>
    </row>
    <row r="114" spans="3:3" ht="33" customHeight="1" x14ac:dyDescent="0.25">
      <c r="C114" s="119"/>
    </row>
    <row r="115" spans="3:3" ht="33" customHeight="1" x14ac:dyDescent="0.25">
      <c r="C115" s="119"/>
    </row>
    <row r="116" spans="3:3" ht="33" customHeight="1" x14ac:dyDescent="0.25">
      <c r="C116" s="119"/>
    </row>
    <row r="117" spans="3:3" ht="33" customHeight="1" x14ac:dyDescent="0.25">
      <c r="C117" s="119"/>
    </row>
    <row r="118" spans="3:3" ht="33" customHeight="1" x14ac:dyDescent="0.25">
      <c r="C118" s="119"/>
    </row>
    <row r="119" spans="3:3" ht="33" customHeight="1" x14ac:dyDescent="0.25">
      <c r="C119" s="119"/>
    </row>
    <row r="120" spans="3:3" ht="33" customHeight="1" x14ac:dyDescent="0.25">
      <c r="C120" s="119"/>
    </row>
  </sheetData>
  <sheetProtection algorithmName="SHA-512" hashValue="xx4Jn+kcJ4RIlPCVv8cEvFtLTyY4EX66CTSumXMU9t+y720sKmVnW34ZyljRlcpvBhW9LwaPXw+TyFc+zmzaZQ==" saltValue="ctMQu6zXl2NGwrR4tn1nUA==" spinCount="100000" sheet="1" objects="1" scenarios="1"/>
  <mergeCells count="2">
    <mergeCell ref="B1:L1"/>
    <mergeCell ref="B2:L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1"/>
  <sheetViews>
    <sheetView workbookViewId="0">
      <selection activeCell="I17" sqref="I17"/>
    </sheetView>
  </sheetViews>
  <sheetFormatPr defaultRowHeight="15" x14ac:dyDescent="0.25"/>
  <cols>
    <col min="2" max="2" width="23.42578125" customWidth="1"/>
    <col min="3" max="3" width="17.5703125" customWidth="1"/>
    <col min="4" max="4" width="11.28515625" customWidth="1"/>
    <col min="5" max="5" width="21.5703125" customWidth="1"/>
    <col min="6" max="6" width="17.28515625" customWidth="1"/>
    <col min="258" max="258" width="22.85546875" customWidth="1"/>
    <col min="259" max="259" width="17.5703125" customWidth="1"/>
    <col min="260" max="260" width="11.28515625" customWidth="1"/>
    <col min="261" max="261" width="21.5703125" customWidth="1"/>
    <col min="514" max="514" width="22.85546875" customWidth="1"/>
    <col min="515" max="515" width="17.5703125" customWidth="1"/>
    <col min="516" max="516" width="11.28515625" customWidth="1"/>
    <col min="517" max="517" width="21.5703125" customWidth="1"/>
    <col min="770" max="770" width="22.85546875" customWidth="1"/>
    <col min="771" max="771" width="17.5703125" customWidth="1"/>
    <col min="772" max="772" width="11.28515625" customWidth="1"/>
    <col min="773" max="773" width="21.5703125" customWidth="1"/>
    <col min="1026" max="1026" width="22.85546875" customWidth="1"/>
    <col min="1027" max="1027" width="17.5703125" customWidth="1"/>
    <col min="1028" max="1028" width="11.28515625" customWidth="1"/>
    <col min="1029" max="1029" width="21.5703125" customWidth="1"/>
    <col min="1282" max="1282" width="22.85546875" customWidth="1"/>
    <col min="1283" max="1283" width="17.5703125" customWidth="1"/>
    <col min="1284" max="1284" width="11.28515625" customWidth="1"/>
    <col min="1285" max="1285" width="21.5703125" customWidth="1"/>
    <col min="1538" max="1538" width="22.85546875" customWidth="1"/>
    <col min="1539" max="1539" width="17.5703125" customWidth="1"/>
    <col min="1540" max="1540" width="11.28515625" customWidth="1"/>
    <col min="1541" max="1541" width="21.5703125" customWidth="1"/>
    <col min="1794" max="1794" width="22.85546875" customWidth="1"/>
    <col min="1795" max="1795" width="17.5703125" customWidth="1"/>
    <col min="1796" max="1796" width="11.28515625" customWidth="1"/>
    <col min="1797" max="1797" width="21.5703125" customWidth="1"/>
    <col min="2050" max="2050" width="22.85546875" customWidth="1"/>
    <col min="2051" max="2051" width="17.5703125" customWidth="1"/>
    <col min="2052" max="2052" width="11.28515625" customWidth="1"/>
    <col min="2053" max="2053" width="21.5703125" customWidth="1"/>
    <col min="2306" max="2306" width="22.85546875" customWidth="1"/>
    <col min="2307" max="2307" width="17.5703125" customWidth="1"/>
    <col min="2308" max="2308" width="11.28515625" customWidth="1"/>
    <col min="2309" max="2309" width="21.5703125" customWidth="1"/>
    <col min="2562" max="2562" width="22.85546875" customWidth="1"/>
    <col min="2563" max="2563" width="17.5703125" customWidth="1"/>
    <col min="2564" max="2564" width="11.28515625" customWidth="1"/>
    <col min="2565" max="2565" width="21.5703125" customWidth="1"/>
    <col min="2818" max="2818" width="22.85546875" customWidth="1"/>
    <col min="2819" max="2819" width="17.5703125" customWidth="1"/>
    <col min="2820" max="2820" width="11.28515625" customWidth="1"/>
    <col min="2821" max="2821" width="21.5703125" customWidth="1"/>
    <col min="3074" max="3074" width="22.85546875" customWidth="1"/>
    <col min="3075" max="3075" width="17.5703125" customWidth="1"/>
    <col min="3076" max="3076" width="11.28515625" customWidth="1"/>
    <col min="3077" max="3077" width="21.5703125" customWidth="1"/>
    <col min="3330" max="3330" width="22.85546875" customWidth="1"/>
    <col min="3331" max="3331" width="17.5703125" customWidth="1"/>
    <col min="3332" max="3332" width="11.28515625" customWidth="1"/>
    <col min="3333" max="3333" width="21.5703125" customWidth="1"/>
    <col min="3586" max="3586" width="22.85546875" customWidth="1"/>
    <col min="3587" max="3587" width="17.5703125" customWidth="1"/>
    <col min="3588" max="3588" width="11.28515625" customWidth="1"/>
    <col min="3589" max="3589" width="21.5703125" customWidth="1"/>
    <col min="3842" max="3842" width="22.85546875" customWidth="1"/>
    <col min="3843" max="3843" width="17.5703125" customWidth="1"/>
    <col min="3844" max="3844" width="11.28515625" customWidth="1"/>
    <col min="3845" max="3845" width="21.5703125" customWidth="1"/>
    <col min="4098" max="4098" width="22.85546875" customWidth="1"/>
    <col min="4099" max="4099" width="17.5703125" customWidth="1"/>
    <col min="4100" max="4100" width="11.28515625" customWidth="1"/>
    <col min="4101" max="4101" width="21.5703125" customWidth="1"/>
    <col min="4354" max="4354" width="22.85546875" customWidth="1"/>
    <col min="4355" max="4355" width="17.5703125" customWidth="1"/>
    <col min="4356" max="4356" width="11.28515625" customWidth="1"/>
    <col min="4357" max="4357" width="21.5703125" customWidth="1"/>
    <col min="4610" max="4610" width="22.85546875" customWidth="1"/>
    <col min="4611" max="4611" width="17.5703125" customWidth="1"/>
    <col min="4612" max="4612" width="11.28515625" customWidth="1"/>
    <col min="4613" max="4613" width="21.5703125" customWidth="1"/>
    <col min="4866" max="4866" width="22.85546875" customWidth="1"/>
    <col min="4867" max="4867" width="17.5703125" customWidth="1"/>
    <col min="4868" max="4868" width="11.28515625" customWidth="1"/>
    <col min="4869" max="4869" width="21.5703125" customWidth="1"/>
    <col min="5122" max="5122" width="22.85546875" customWidth="1"/>
    <col min="5123" max="5123" width="17.5703125" customWidth="1"/>
    <col min="5124" max="5124" width="11.28515625" customWidth="1"/>
    <col min="5125" max="5125" width="21.5703125" customWidth="1"/>
    <col min="5378" max="5378" width="22.85546875" customWidth="1"/>
    <col min="5379" max="5379" width="17.5703125" customWidth="1"/>
    <col min="5380" max="5380" width="11.28515625" customWidth="1"/>
    <col min="5381" max="5381" width="21.5703125" customWidth="1"/>
    <col min="5634" max="5634" width="22.85546875" customWidth="1"/>
    <col min="5635" max="5635" width="17.5703125" customWidth="1"/>
    <col min="5636" max="5636" width="11.28515625" customWidth="1"/>
    <col min="5637" max="5637" width="21.5703125" customWidth="1"/>
    <col min="5890" max="5890" width="22.85546875" customWidth="1"/>
    <col min="5891" max="5891" width="17.5703125" customWidth="1"/>
    <col min="5892" max="5892" width="11.28515625" customWidth="1"/>
    <col min="5893" max="5893" width="21.5703125" customWidth="1"/>
    <col min="6146" max="6146" width="22.85546875" customWidth="1"/>
    <col min="6147" max="6147" width="17.5703125" customWidth="1"/>
    <col min="6148" max="6148" width="11.28515625" customWidth="1"/>
    <col min="6149" max="6149" width="21.5703125" customWidth="1"/>
    <col min="6402" max="6402" width="22.85546875" customWidth="1"/>
    <col min="6403" max="6403" width="17.5703125" customWidth="1"/>
    <col min="6404" max="6404" width="11.28515625" customWidth="1"/>
    <col min="6405" max="6405" width="21.5703125" customWidth="1"/>
    <col min="6658" max="6658" width="22.85546875" customWidth="1"/>
    <col min="6659" max="6659" width="17.5703125" customWidth="1"/>
    <col min="6660" max="6660" width="11.28515625" customWidth="1"/>
    <col min="6661" max="6661" width="21.5703125" customWidth="1"/>
    <col min="6914" max="6914" width="22.85546875" customWidth="1"/>
    <col min="6915" max="6915" width="17.5703125" customWidth="1"/>
    <col min="6916" max="6916" width="11.28515625" customWidth="1"/>
    <col min="6917" max="6917" width="21.5703125" customWidth="1"/>
    <col min="7170" max="7170" width="22.85546875" customWidth="1"/>
    <col min="7171" max="7171" width="17.5703125" customWidth="1"/>
    <col min="7172" max="7172" width="11.28515625" customWidth="1"/>
    <col min="7173" max="7173" width="21.5703125" customWidth="1"/>
    <col min="7426" max="7426" width="22.85546875" customWidth="1"/>
    <col min="7427" max="7427" width="17.5703125" customWidth="1"/>
    <col min="7428" max="7428" width="11.28515625" customWidth="1"/>
    <col min="7429" max="7429" width="21.5703125" customWidth="1"/>
    <col min="7682" max="7682" width="22.85546875" customWidth="1"/>
    <col min="7683" max="7683" width="17.5703125" customWidth="1"/>
    <col min="7684" max="7684" width="11.28515625" customWidth="1"/>
    <col min="7685" max="7685" width="21.5703125" customWidth="1"/>
    <col min="7938" max="7938" width="22.85546875" customWidth="1"/>
    <col min="7939" max="7939" width="17.5703125" customWidth="1"/>
    <col min="7940" max="7940" width="11.28515625" customWidth="1"/>
    <col min="7941" max="7941" width="21.5703125" customWidth="1"/>
    <col min="8194" max="8194" width="22.85546875" customWidth="1"/>
    <col min="8195" max="8195" width="17.5703125" customWidth="1"/>
    <col min="8196" max="8196" width="11.28515625" customWidth="1"/>
    <col min="8197" max="8197" width="21.5703125" customWidth="1"/>
    <col min="8450" max="8450" width="22.85546875" customWidth="1"/>
    <col min="8451" max="8451" width="17.5703125" customWidth="1"/>
    <col min="8452" max="8452" width="11.28515625" customWidth="1"/>
    <col min="8453" max="8453" width="21.5703125" customWidth="1"/>
    <col min="8706" max="8706" width="22.85546875" customWidth="1"/>
    <col min="8707" max="8707" width="17.5703125" customWidth="1"/>
    <col min="8708" max="8708" width="11.28515625" customWidth="1"/>
    <col min="8709" max="8709" width="21.5703125" customWidth="1"/>
    <col min="8962" max="8962" width="22.85546875" customWidth="1"/>
    <col min="8963" max="8963" width="17.5703125" customWidth="1"/>
    <col min="8964" max="8964" width="11.28515625" customWidth="1"/>
    <col min="8965" max="8965" width="21.5703125" customWidth="1"/>
    <col min="9218" max="9218" width="22.85546875" customWidth="1"/>
    <col min="9219" max="9219" width="17.5703125" customWidth="1"/>
    <col min="9220" max="9220" width="11.28515625" customWidth="1"/>
    <col min="9221" max="9221" width="21.5703125" customWidth="1"/>
    <col min="9474" max="9474" width="22.85546875" customWidth="1"/>
    <col min="9475" max="9475" width="17.5703125" customWidth="1"/>
    <col min="9476" max="9476" width="11.28515625" customWidth="1"/>
    <col min="9477" max="9477" width="21.5703125" customWidth="1"/>
    <col min="9730" max="9730" width="22.85546875" customWidth="1"/>
    <col min="9731" max="9731" width="17.5703125" customWidth="1"/>
    <col min="9732" max="9732" width="11.28515625" customWidth="1"/>
    <col min="9733" max="9733" width="21.5703125" customWidth="1"/>
    <col min="9986" max="9986" width="22.85546875" customWidth="1"/>
    <col min="9987" max="9987" width="17.5703125" customWidth="1"/>
    <col min="9988" max="9988" width="11.28515625" customWidth="1"/>
    <col min="9989" max="9989" width="21.5703125" customWidth="1"/>
    <col min="10242" max="10242" width="22.85546875" customWidth="1"/>
    <col min="10243" max="10243" width="17.5703125" customWidth="1"/>
    <col min="10244" max="10244" width="11.28515625" customWidth="1"/>
    <col min="10245" max="10245" width="21.5703125" customWidth="1"/>
    <col min="10498" max="10498" width="22.85546875" customWidth="1"/>
    <col min="10499" max="10499" width="17.5703125" customWidth="1"/>
    <col min="10500" max="10500" width="11.28515625" customWidth="1"/>
    <col min="10501" max="10501" width="21.5703125" customWidth="1"/>
    <col min="10754" max="10754" width="22.85546875" customWidth="1"/>
    <col min="10755" max="10755" width="17.5703125" customWidth="1"/>
    <col min="10756" max="10756" width="11.28515625" customWidth="1"/>
    <col min="10757" max="10757" width="21.5703125" customWidth="1"/>
    <col min="11010" max="11010" width="22.85546875" customWidth="1"/>
    <col min="11011" max="11011" width="17.5703125" customWidth="1"/>
    <col min="11012" max="11012" width="11.28515625" customWidth="1"/>
    <col min="11013" max="11013" width="21.5703125" customWidth="1"/>
    <col min="11266" max="11266" width="22.85546875" customWidth="1"/>
    <col min="11267" max="11267" width="17.5703125" customWidth="1"/>
    <col min="11268" max="11268" width="11.28515625" customWidth="1"/>
    <col min="11269" max="11269" width="21.5703125" customWidth="1"/>
    <col min="11522" max="11522" width="22.85546875" customWidth="1"/>
    <col min="11523" max="11523" width="17.5703125" customWidth="1"/>
    <col min="11524" max="11524" width="11.28515625" customWidth="1"/>
    <col min="11525" max="11525" width="21.5703125" customWidth="1"/>
    <col min="11778" max="11778" width="22.85546875" customWidth="1"/>
    <col min="11779" max="11779" width="17.5703125" customWidth="1"/>
    <col min="11780" max="11780" width="11.28515625" customWidth="1"/>
    <col min="11781" max="11781" width="21.5703125" customWidth="1"/>
    <col min="12034" max="12034" width="22.85546875" customWidth="1"/>
    <col min="12035" max="12035" width="17.5703125" customWidth="1"/>
    <col min="12036" max="12036" width="11.28515625" customWidth="1"/>
    <col min="12037" max="12037" width="21.5703125" customWidth="1"/>
    <col min="12290" max="12290" width="22.85546875" customWidth="1"/>
    <col min="12291" max="12291" width="17.5703125" customWidth="1"/>
    <col min="12292" max="12292" width="11.28515625" customWidth="1"/>
    <col min="12293" max="12293" width="21.5703125" customWidth="1"/>
    <col min="12546" max="12546" width="22.85546875" customWidth="1"/>
    <col min="12547" max="12547" width="17.5703125" customWidth="1"/>
    <col min="12548" max="12548" width="11.28515625" customWidth="1"/>
    <col min="12549" max="12549" width="21.5703125" customWidth="1"/>
    <col min="12802" max="12802" width="22.85546875" customWidth="1"/>
    <col min="12803" max="12803" width="17.5703125" customWidth="1"/>
    <col min="12804" max="12804" width="11.28515625" customWidth="1"/>
    <col min="12805" max="12805" width="21.5703125" customWidth="1"/>
    <col min="13058" max="13058" width="22.85546875" customWidth="1"/>
    <col min="13059" max="13059" width="17.5703125" customWidth="1"/>
    <col min="13060" max="13060" width="11.28515625" customWidth="1"/>
    <col min="13061" max="13061" width="21.5703125" customWidth="1"/>
    <col min="13314" max="13314" width="22.85546875" customWidth="1"/>
    <col min="13315" max="13315" width="17.5703125" customWidth="1"/>
    <col min="13316" max="13316" width="11.28515625" customWidth="1"/>
    <col min="13317" max="13317" width="21.5703125" customWidth="1"/>
    <col min="13570" max="13570" width="22.85546875" customWidth="1"/>
    <col min="13571" max="13571" width="17.5703125" customWidth="1"/>
    <col min="13572" max="13572" width="11.28515625" customWidth="1"/>
    <col min="13573" max="13573" width="21.5703125" customWidth="1"/>
    <col min="13826" max="13826" width="22.85546875" customWidth="1"/>
    <col min="13827" max="13827" width="17.5703125" customWidth="1"/>
    <col min="13828" max="13828" width="11.28515625" customWidth="1"/>
    <col min="13829" max="13829" width="21.5703125" customWidth="1"/>
    <col min="14082" max="14082" width="22.85546875" customWidth="1"/>
    <col min="14083" max="14083" width="17.5703125" customWidth="1"/>
    <col min="14084" max="14084" width="11.28515625" customWidth="1"/>
    <col min="14085" max="14085" width="21.5703125" customWidth="1"/>
    <col min="14338" max="14338" width="22.85546875" customWidth="1"/>
    <col min="14339" max="14339" width="17.5703125" customWidth="1"/>
    <col min="14340" max="14340" width="11.28515625" customWidth="1"/>
    <col min="14341" max="14341" width="21.5703125" customWidth="1"/>
    <col min="14594" max="14594" width="22.85546875" customWidth="1"/>
    <col min="14595" max="14595" width="17.5703125" customWidth="1"/>
    <col min="14596" max="14596" width="11.28515625" customWidth="1"/>
    <col min="14597" max="14597" width="21.5703125" customWidth="1"/>
    <col min="14850" max="14850" width="22.85546875" customWidth="1"/>
    <col min="14851" max="14851" width="17.5703125" customWidth="1"/>
    <col min="14852" max="14852" width="11.28515625" customWidth="1"/>
    <col min="14853" max="14853" width="21.5703125" customWidth="1"/>
    <col min="15106" max="15106" width="22.85546875" customWidth="1"/>
    <col min="15107" max="15107" width="17.5703125" customWidth="1"/>
    <col min="15108" max="15108" width="11.28515625" customWidth="1"/>
    <col min="15109" max="15109" width="21.5703125" customWidth="1"/>
    <col min="15362" max="15362" width="22.85546875" customWidth="1"/>
    <col min="15363" max="15363" width="17.5703125" customWidth="1"/>
    <col min="15364" max="15364" width="11.28515625" customWidth="1"/>
    <col min="15365" max="15365" width="21.5703125" customWidth="1"/>
    <col min="15618" max="15618" width="22.85546875" customWidth="1"/>
    <col min="15619" max="15619" width="17.5703125" customWidth="1"/>
    <col min="15620" max="15620" width="11.28515625" customWidth="1"/>
    <col min="15621" max="15621" width="21.5703125" customWidth="1"/>
    <col min="15874" max="15874" width="22.85546875" customWidth="1"/>
    <col min="15875" max="15875" width="17.5703125" customWidth="1"/>
    <col min="15876" max="15876" width="11.28515625" customWidth="1"/>
    <col min="15877" max="15877" width="21.5703125" customWidth="1"/>
    <col min="16130" max="16130" width="22.85546875" customWidth="1"/>
    <col min="16131" max="16131" width="17.5703125" customWidth="1"/>
    <col min="16132" max="16132" width="11.28515625" customWidth="1"/>
    <col min="16133" max="16133" width="21.5703125" customWidth="1"/>
  </cols>
  <sheetData>
    <row r="1" spans="2:17" ht="15.75" thickBot="1" x14ac:dyDescent="0.3"/>
    <row r="2" spans="2:17" ht="15.75" thickBot="1" x14ac:dyDescent="0.3">
      <c r="E2" s="472" t="s">
        <v>221</v>
      </c>
      <c r="F2" s="473"/>
      <c r="K2" t="s">
        <v>61</v>
      </c>
      <c r="Q2" t="s">
        <v>62</v>
      </c>
    </row>
    <row r="3" spans="2:17" x14ac:dyDescent="0.25">
      <c r="B3" s="470" t="s">
        <v>220</v>
      </c>
      <c r="C3" s="471"/>
      <c r="D3" s="279"/>
      <c r="E3" s="43" t="s">
        <v>235</v>
      </c>
      <c r="F3" s="44" t="s">
        <v>236</v>
      </c>
      <c r="L3" s="280"/>
      <c r="M3" s="281"/>
      <c r="Q3">
        <v>12</v>
      </c>
    </row>
    <row r="4" spans="2:17" ht="16.5" x14ac:dyDescent="0.3">
      <c r="B4" s="230" t="s">
        <v>139</v>
      </c>
      <c r="C4" s="43" t="s">
        <v>222</v>
      </c>
      <c r="E4" s="165">
        <v>1</v>
      </c>
      <c r="F4" s="307">
        <v>7.6632124352331604E-2</v>
      </c>
      <c r="L4" s="280" t="s">
        <v>223</v>
      </c>
      <c r="M4" s="281">
        <f>1.312</f>
        <v>1.3120000000000001</v>
      </c>
      <c r="Q4">
        <v>24</v>
      </c>
    </row>
    <row r="5" spans="2:17" ht="16.5" x14ac:dyDescent="0.3">
      <c r="B5" s="278">
        <v>1</v>
      </c>
      <c r="C5" s="217">
        <v>0.17</v>
      </c>
      <c r="E5" s="165">
        <v>2</v>
      </c>
      <c r="F5" s="307">
        <v>0.12598673823808024</v>
      </c>
      <c r="L5" s="280" t="s">
        <v>224</v>
      </c>
      <c r="M5" s="281">
        <f>1.582</f>
        <v>1.5820000000000001</v>
      </c>
      <c r="Q5">
        <v>48</v>
      </c>
    </row>
    <row r="6" spans="2:17" ht="16.5" x14ac:dyDescent="0.3">
      <c r="B6" s="278">
        <v>2</v>
      </c>
      <c r="C6" s="217">
        <v>0.25</v>
      </c>
      <c r="E6" s="165">
        <v>3</v>
      </c>
      <c r="F6" s="307">
        <v>0.19042984590429846</v>
      </c>
      <c r="L6" s="280" t="s">
        <v>225</v>
      </c>
      <c r="M6" s="281">
        <v>1.9630000000000001</v>
      </c>
    </row>
    <row r="7" spans="2:17" ht="16.5" x14ac:dyDescent="0.3">
      <c r="B7" s="278">
        <v>3</v>
      </c>
      <c r="C7" s="217">
        <v>0.35</v>
      </c>
      <c r="E7" s="165">
        <v>5</v>
      </c>
      <c r="F7" s="307">
        <v>0.22891630425135354</v>
      </c>
      <c r="L7" s="280" t="s">
        <v>226</v>
      </c>
      <c r="M7" s="281">
        <v>0.55000000000000004</v>
      </c>
    </row>
    <row r="8" spans="2:17" ht="15.75" x14ac:dyDescent="0.25">
      <c r="B8" s="278">
        <v>4</v>
      </c>
      <c r="C8" s="217">
        <v>0.35</v>
      </c>
      <c r="E8" s="165">
        <v>7</v>
      </c>
      <c r="F8" s="307">
        <v>0.29294336118848657</v>
      </c>
    </row>
    <row r="9" spans="2:17" ht="15.75" x14ac:dyDescent="0.25">
      <c r="B9" s="278">
        <v>5</v>
      </c>
      <c r="C9" s="217">
        <v>0.4</v>
      </c>
      <c r="E9" s="165">
        <v>8</v>
      </c>
      <c r="F9" s="307">
        <v>0.32804852394642731</v>
      </c>
    </row>
    <row r="10" spans="2:17" ht="15.75" x14ac:dyDescent="0.25">
      <c r="B10" s="278">
        <v>6</v>
      </c>
      <c r="C10" s="217">
        <v>0.4</v>
      </c>
      <c r="E10" s="165">
        <v>10</v>
      </c>
      <c r="F10" s="307">
        <v>0.3682253521126761</v>
      </c>
      <c r="K10" t="s">
        <v>72</v>
      </c>
    </row>
    <row r="11" spans="2:17" ht="15.75" x14ac:dyDescent="0.25">
      <c r="B11" s="278">
        <v>7</v>
      </c>
      <c r="C11" s="217">
        <v>0.5</v>
      </c>
      <c r="E11" s="165">
        <v>15</v>
      </c>
      <c r="F11" s="307">
        <v>0.44251724958363081</v>
      </c>
      <c r="K11" s="287" t="s">
        <v>42</v>
      </c>
      <c r="L11" s="287" t="s">
        <v>42</v>
      </c>
      <c r="M11" s="287" t="s">
        <v>73</v>
      </c>
      <c r="N11" s="287" t="s">
        <v>227</v>
      </c>
      <c r="O11" s="287" t="s">
        <v>228</v>
      </c>
      <c r="P11" s="287" t="s">
        <v>229</v>
      </c>
    </row>
    <row r="12" spans="2:17" x14ac:dyDescent="0.25">
      <c r="B12" s="278">
        <v>8</v>
      </c>
      <c r="C12" s="232">
        <v>0.55000000000000004</v>
      </c>
      <c r="K12" s="289">
        <v>1</v>
      </c>
      <c r="L12" s="116">
        <f t="shared" ref="L12:L30" si="0">K12/100</f>
        <v>0.01</v>
      </c>
      <c r="M12" s="116">
        <f t="shared" ref="M12:M30" si="1">0.858*L12^3-0.78*L12^2+0.774*L12+0.04</f>
        <v>4.7662858000000002E-2</v>
      </c>
      <c r="N12" s="116">
        <f t="shared" ref="N12:N30" si="2">$M$4*M12*$M$7</f>
        <v>3.4393518332800008E-2</v>
      </c>
      <c r="O12" s="116">
        <f t="shared" ref="O12:O30" si="3">$M$5*M12*$M$7</f>
        <v>4.1471452745800011E-2</v>
      </c>
      <c r="P12" s="116">
        <f t="shared" ref="P12:P30" si="4">$M$6*M12*$M$7</f>
        <v>5.145920463970001E-2</v>
      </c>
    </row>
    <row r="13" spans="2:17" ht="15.75" thickBot="1" x14ac:dyDescent="0.3">
      <c r="B13" s="278">
        <v>9</v>
      </c>
      <c r="C13" s="232">
        <v>0.55000000000000004</v>
      </c>
      <c r="K13" s="289">
        <v>2</v>
      </c>
      <c r="L13" s="116">
        <f t="shared" si="0"/>
        <v>0.02</v>
      </c>
      <c r="M13" s="116">
        <f t="shared" si="1"/>
        <v>5.5174864000000004E-2</v>
      </c>
      <c r="N13" s="116">
        <f t="shared" si="2"/>
        <v>3.9814181862400003E-2</v>
      </c>
      <c r="O13" s="116">
        <f t="shared" si="3"/>
        <v>4.8007649166400004E-2</v>
      </c>
      <c r="P13" s="116">
        <f t="shared" si="4"/>
        <v>5.9569541917600013E-2</v>
      </c>
    </row>
    <row r="14" spans="2:17" x14ac:dyDescent="0.25">
      <c r="B14" s="278">
        <v>10</v>
      </c>
      <c r="C14" s="232">
        <v>0.6</v>
      </c>
      <c r="E14" s="472" t="s">
        <v>230</v>
      </c>
      <c r="F14" s="473"/>
      <c r="K14" s="289">
        <v>3</v>
      </c>
      <c r="L14" s="116">
        <f t="shared" si="0"/>
        <v>0.03</v>
      </c>
      <c r="M14" s="116">
        <f t="shared" si="1"/>
        <v>6.2541166000000009E-2</v>
      </c>
      <c r="N14" s="116">
        <f t="shared" si="2"/>
        <v>4.5129705385600016E-2</v>
      </c>
      <c r="O14" s="116">
        <f t="shared" si="3"/>
        <v>5.441706853660002E-2</v>
      </c>
      <c r="P14" s="116">
        <f t="shared" si="4"/>
        <v>6.7522569871900015E-2</v>
      </c>
    </row>
    <row r="15" spans="2:17" x14ac:dyDescent="0.25">
      <c r="B15" s="278">
        <v>11</v>
      </c>
      <c r="C15" s="232">
        <v>0.6</v>
      </c>
      <c r="E15" s="283">
        <v>1</v>
      </c>
      <c r="F15" s="290">
        <v>0.04</v>
      </c>
      <c r="K15" s="289">
        <v>4</v>
      </c>
      <c r="L15" s="116">
        <f t="shared" si="0"/>
        <v>0.04</v>
      </c>
      <c r="M15" s="116">
        <f t="shared" si="1"/>
        <v>6.9766912E-2</v>
      </c>
      <c r="N15" s="116">
        <f t="shared" si="2"/>
        <v>5.0343803699200003E-2</v>
      </c>
      <c r="O15" s="116">
        <f t="shared" si="3"/>
        <v>6.0704190131200007E-2</v>
      </c>
      <c r="P15" s="116">
        <f t="shared" si="4"/>
        <v>7.5323846540800002E-2</v>
      </c>
    </row>
    <row r="16" spans="2:17" x14ac:dyDescent="0.25">
      <c r="B16" s="278">
        <v>12</v>
      </c>
      <c r="C16" s="232">
        <v>0.6</v>
      </c>
      <c r="E16" s="283">
        <v>2</v>
      </c>
      <c r="F16" s="290">
        <v>0.04</v>
      </c>
      <c r="K16" s="289">
        <v>5</v>
      </c>
      <c r="L16" s="116">
        <f t="shared" si="0"/>
        <v>0.05</v>
      </c>
      <c r="M16" s="116">
        <f t="shared" si="1"/>
        <v>7.6857250000000016E-2</v>
      </c>
      <c r="N16" s="116">
        <f t="shared" si="2"/>
        <v>5.5460191600000014E-2</v>
      </c>
      <c r="O16" s="116">
        <f t="shared" si="3"/>
        <v>6.6873493225000025E-2</v>
      </c>
      <c r="P16" s="116">
        <f t="shared" si="4"/>
        <v>8.2978929962500031E-2</v>
      </c>
    </row>
    <row r="17" spans="2:16" x14ac:dyDescent="0.25">
      <c r="B17" s="278">
        <v>13</v>
      </c>
      <c r="C17" s="232">
        <v>0.6</v>
      </c>
      <c r="E17" s="283">
        <v>3</v>
      </c>
      <c r="F17" s="290">
        <v>0.04</v>
      </c>
      <c r="K17" s="289">
        <v>6</v>
      </c>
      <c r="L17" s="116">
        <f t="shared" si="0"/>
        <v>0.06</v>
      </c>
      <c r="M17" s="116">
        <f t="shared" si="1"/>
        <v>8.3817327999999997E-2</v>
      </c>
      <c r="N17" s="116">
        <f t="shared" si="2"/>
        <v>6.0482583884800011E-2</v>
      </c>
      <c r="O17" s="116">
        <f t="shared" si="3"/>
        <v>7.2929457092800007E-2</v>
      </c>
      <c r="P17" s="116">
        <f t="shared" si="4"/>
        <v>9.0493378175200007E-2</v>
      </c>
    </row>
    <row r="18" spans="2:16" x14ac:dyDescent="0.25">
      <c r="B18" s="278">
        <v>14</v>
      </c>
      <c r="C18" s="232">
        <v>0.6</v>
      </c>
      <c r="E18" s="283">
        <v>5</v>
      </c>
      <c r="F18" s="290">
        <v>0.04</v>
      </c>
      <c r="K18" s="289">
        <v>7</v>
      </c>
      <c r="L18" s="116">
        <f t="shared" si="0"/>
        <v>7.0000000000000007E-2</v>
      </c>
      <c r="M18" s="116">
        <f t="shared" si="1"/>
        <v>9.0652294000000008E-2</v>
      </c>
      <c r="N18" s="116">
        <f t="shared" si="2"/>
        <v>6.5414695350400009E-2</v>
      </c>
      <c r="O18" s="116">
        <f t="shared" si="3"/>
        <v>7.887656100940002E-2</v>
      </c>
      <c r="P18" s="116">
        <f t="shared" si="4"/>
        <v>9.7872749217100027E-2</v>
      </c>
    </row>
    <row r="19" spans="2:16" x14ac:dyDescent="0.25">
      <c r="B19" s="278">
        <v>15</v>
      </c>
      <c r="C19" s="217">
        <v>0.7</v>
      </c>
      <c r="E19" s="283">
        <v>7</v>
      </c>
      <c r="F19" s="290">
        <v>0.04</v>
      </c>
      <c r="K19" s="289">
        <v>8</v>
      </c>
      <c r="L19" s="116">
        <f t="shared" si="0"/>
        <v>0.08</v>
      </c>
      <c r="M19" s="116">
        <f t="shared" si="1"/>
        <v>9.7367295999999992E-2</v>
      </c>
      <c r="N19" s="116">
        <f t="shared" si="2"/>
        <v>7.0260240793599993E-2</v>
      </c>
      <c r="O19" s="116">
        <f t="shared" si="3"/>
        <v>8.4719284249600013E-2</v>
      </c>
      <c r="P19" s="116">
        <f t="shared" si="4"/>
        <v>0.1051226011264</v>
      </c>
    </row>
    <row r="20" spans="2:16" x14ac:dyDescent="0.25">
      <c r="B20" s="278">
        <v>16</v>
      </c>
      <c r="C20" s="217">
        <v>0.7</v>
      </c>
      <c r="E20" s="283">
        <v>8</v>
      </c>
      <c r="F20" s="290">
        <v>0.04</v>
      </c>
      <c r="K20" s="289">
        <v>9</v>
      </c>
      <c r="L20" s="116">
        <f t="shared" si="0"/>
        <v>0.09</v>
      </c>
      <c r="M20" s="116">
        <f t="shared" si="1"/>
        <v>0.103967482</v>
      </c>
      <c r="N20" s="116">
        <f t="shared" si="2"/>
        <v>7.5022935011200012E-2</v>
      </c>
      <c r="O20" s="116">
        <f t="shared" si="3"/>
        <v>9.0462106088200017E-2</v>
      </c>
      <c r="P20" s="116">
        <f t="shared" si="4"/>
        <v>0.11224849194130002</v>
      </c>
    </row>
    <row r="21" spans="2:16" x14ac:dyDescent="0.25">
      <c r="B21" s="278">
        <v>17</v>
      </c>
      <c r="C21" s="217">
        <v>0.7</v>
      </c>
      <c r="E21" s="283">
        <v>10</v>
      </c>
      <c r="F21" s="290">
        <v>0.04</v>
      </c>
      <c r="K21" s="289">
        <v>10</v>
      </c>
      <c r="L21" s="116">
        <f t="shared" si="0"/>
        <v>0.1</v>
      </c>
      <c r="M21" s="116">
        <f t="shared" si="1"/>
        <v>0.110458</v>
      </c>
      <c r="N21" s="116">
        <f t="shared" si="2"/>
        <v>7.9706492800000001E-2</v>
      </c>
      <c r="O21" s="116">
        <f t="shared" si="3"/>
        <v>9.6109505800000009E-2</v>
      </c>
      <c r="P21" s="116">
        <f t="shared" si="4"/>
        <v>0.11925597970000001</v>
      </c>
    </row>
    <row r="22" spans="2:16" ht="15.75" thickBot="1" x14ac:dyDescent="0.3">
      <c r="B22" s="278">
        <v>18</v>
      </c>
      <c r="C22" s="217">
        <v>0.7</v>
      </c>
      <c r="E22" s="286">
        <v>15</v>
      </c>
      <c r="F22" s="291">
        <v>0.04</v>
      </c>
      <c r="K22" s="289">
        <v>11</v>
      </c>
      <c r="L22" s="116">
        <f t="shared" si="0"/>
        <v>0.11</v>
      </c>
      <c r="M22" s="116">
        <f t="shared" si="1"/>
        <v>0.116843998</v>
      </c>
      <c r="N22" s="116">
        <f t="shared" si="2"/>
        <v>8.4314628956800017E-2</v>
      </c>
      <c r="O22" s="116">
        <f t="shared" si="3"/>
        <v>0.1016659626598</v>
      </c>
      <c r="P22" s="116">
        <f t="shared" si="4"/>
        <v>0.12615062244070002</v>
      </c>
    </row>
    <row r="23" spans="2:16" x14ac:dyDescent="0.25">
      <c r="B23" s="278">
        <v>19</v>
      </c>
      <c r="C23" s="217">
        <v>0.7</v>
      </c>
      <c r="K23" s="289">
        <v>12</v>
      </c>
      <c r="L23" s="116">
        <f t="shared" si="0"/>
        <v>0.12</v>
      </c>
      <c r="M23" s="116">
        <f t="shared" si="1"/>
        <v>0.12313062399999999</v>
      </c>
      <c r="N23" s="116">
        <f t="shared" si="2"/>
        <v>8.8851058278400008E-2</v>
      </c>
      <c r="O23" s="116">
        <f t="shared" si="3"/>
        <v>0.1071359559424</v>
      </c>
      <c r="P23" s="116">
        <f t="shared" si="4"/>
        <v>0.13293797820160003</v>
      </c>
    </row>
    <row r="24" spans="2:16" x14ac:dyDescent="0.25">
      <c r="B24" s="278">
        <v>20</v>
      </c>
      <c r="C24" s="217">
        <v>0.7</v>
      </c>
      <c r="K24" s="289">
        <v>13</v>
      </c>
      <c r="L24" s="116">
        <f t="shared" si="0"/>
        <v>0.13</v>
      </c>
      <c r="M24" s="116">
        <f t="shared" si="1"/>
        <v>0.12932302600000001</v>
      </c>
      <c r="N24" s="116">
        <f t="shared" si="2"/>
        <v>9.3319495561600019E-2</v>
      </c>
      <c r="O24" s="116">
        <f t="shared" si="3"/>
        <v>0.11252396492260003</v>
      </c>
      <c r="P24" s="116">
        <f t="shared" si="4"/>
        <v>0.13962360502090002</v>
      </c>
    </row>
    <row r="25" spans="2:16" ht="15.75" thickBot="1" x14ac:dyDescent="0.3">
      <c r="K25" s="289">
        <v>14</v>
      </c>
      <c r="L25" s="116">
        <f t="shared" si="0"/>
        <v>0.14000000000000001</v>
      </c>
      <c r="M25" s="116">
        <f t="shared" si="1"/>
        <v>0.135426352</v>
      </c>
      <c r="N25" s="116">
        <f t="shared" si="2"/>
        <v>9.772365560320001E-2</v>
      </c>
      <c r="O25" s="116">
        <f t="shared" si="3"/>
        <v>0.11783446887520002</v>
      </c>
      <c r="P25" s="116">
        <f t="shared" si="4"/>
        <v>0.1462130609368</v>
      </c>
    </row>
    <row r="26" spans="2:16" x14ac:dyDescent="0.25">
      <c r="B26" s="470" t="s">
        <v>231</v>
      </c>
      <c r="C26" s="474"/>
      <c r="K26" s="289">
        <v>15</v>
      </c>
      <c r="L26" s="116">
        <f t="shared" si="0"/>
        <v>0.15</v>
      </c>
      <c r="M26" s="116">
        <f t="shared" si="1"/>
        <v>0.14144575000000001</v>
      </c>
      <c r="N26" s="116">
        <f t="shared" si="2"/>
        <v>0.10206725320000003</v>
      </c>
      <c r="O26" s="116">
        <f t="shared" si="3"/>
        <v>0.12307194707500002</v>
      </c>
      <c r="P26" s="116">
        <f t="shared" si="4"/>
        <v>0.15271190398750001</v>
      </c>
    </row>
    <row r="27" spans="2:16" x14ac:dyDescent="0.25">
      <c r="B27" s="282" t="s">
        <v>139</v>
      </c>
      <c r="C27" s="294" t="s">
        <v>232</v>
      </c>
      <c r="K27" s="289">
        <v>16</v>
      </c>
      <c r="L27" s="116">
        <f t="shared" si="0"/>
        <v>0.16</v>
      </c>
      <c r="M27" s="116">
        <f t="shared" si="1"/>
        <v>0.14738636800000002</v>
      </c>
      <c r="N27" s="116">
        <f t="shared" si="2"/>
        <v>0.10635400314880002</v>
      </c>
      <c r="O27" s="116">
        <f t="shared" si="3"/>
        <v>0.12824087879680005</v>
      </c>
      <c r="P27" s="116">
        <f t="shared" si="4"/>
        <v>0.15912569221120004</v>
      </c>
    </row>
    <row r="28" spans="2:16" x14ac:dyDescent="0.25">
      <c r="B28" s="284">
        <v>1</v>
      </c>
      <c r="C28" s="285">
        <v>0.15</v>
      </c>
      <c r="K28" s="289">
        <v>17</v>
      </c>
      <c r="L28" s="116">
        <f t="shared" si="0"/>
        <v>0.17</v>
      </c>
      <c r="M28" s="116">
        <f t="shared" si="1"/>
        <v>0.15325335400000001</v>
      </c>
      <c r="N28" s="116">
        <f t="shared" si="2"/>
        <v>0.11058762024640001</v>
      </c>
      <c r="O28" s="116">
        <f t="shared" si="3"/>
        <v>0.13334574331540003</v>
      </c>
      <c r="P28" s="116">
        <f t="shared" si="4"/>
        <v>0.16545998364610004</v>
      </c>
    </row>
    <row r="29" spans="2:16" x14ac:dyDescent="0.25">
      <c r="B29" s="284">
        <v>2</v>
      </c>
      <c r="C29" s="285">
        <v>0.2</v>
      </c>
      <c r="K29" s="289">
        <v>18</v>
      </c>
      <c r="L29" s="116">
        <f t="shared" si="0"/>
        <v>0.18</v>
      </c>
      <c r="M29" s="116">
        <f t="shared" si="1"/>
        <v>0.15905185599999999</v>
      </c>
      <c r="N29" s="116">
        <f t="shared" si="2"/>
        <v>0.11477181928960001</v>
      </c>
      <c r="O29" s="116">
        <f t="shared" si="3"/>
        <v>0.13839101990560002</v>
      </c>
      <c r="P29" s="116">
        <f t="shared" si="4"/>
        <v>0.17172033633040001</v>
      </c>
    </row>
    <row r="30" spans="2:16" x14ac:dyDescent="0.25">
      <c r="B30" s="284">
        <v>3</v>
      </c>
      <c r="C30" s="285">
        <v>0.25</v>
      </c>
      <c r="K30" s="289">
        <v>19</v>
      </c>
      <c r="L30" s="116">
        <f t="shared" si="0"/>
        <v>0.19</v>
      </c>
      <c r="M30" s="116">
        <f t="shared" si="1"/>
        <v>0.16478702200000001</v>
      </c>
      <c r="N30" s="116">
        <f t="shared" si="2"/>
        <v>0.11891031507520002</v>
      </c>
      <c r="O30" s="116">
        <f t="shared" si="3"/>
        <v>0.14338118784220003</v>
      </c>
      <c r="P30" s="116">
        <f t="shared" si="4"/>
        <v>0.17791230830230004</v>
      </c>
    </row>
    <row r="31" spans="2:16" x14ac:dyDescent="0.25">
      <c r="B31" s="284">
        <v>5</v>
      </c>
      <c r="C31" s="285">
        <v>0.28000000000000003</v>
      </c>
      <c r="K31">
        <v>20</v>
      </c>
      <c r="L31" s="116">
        <f>K31/100</f>
        <v>0.2</v>
      </c>
      <c r="M31" s="116">
        <f>0.858*L31^3-0.78*L31^2+0.774*L31+0.04</f>
        <v>0.17046400000000003</v>
      </c>
      <c r="N31" s="116">
        <f>$M$4*M31*$M$7</f>
        <v>0.12300682240000003</v>
      </c>
      <c r="O31" s="116">
        <f>$M$5*M31*$M$7</f>
        <v>0.14832072640000005</v>
      </c>
      <c r="P31" s="116">
        <f>$M$6*M31*$M$7</f>
        <v>0.18404145760000007</v>
      </c>
    </row>
    <row r="32" spans="2:16" x14ac:dyDescent="0.25">
      <c r="B32" s="284">
        <v>7</v>
      </c>
      <c r="C32" s="285">
        <v>0.34</v>
      </c>
      <c r="K32">
        <v>21</v>
      </c>
      <c r="L32" s="116">
        <f t="shared" ref="L32:L95" si="5">K32/100</f>
        <v>0.21</v>
      </c>
      <c r="M32" s="116">
        <f t="shared" ref="M32:M95" si="6">0.858*L32^3-0.78*L32^2+0.774*L32+0.04</f>
        <v>0.176087938</v>
      </c>
      <c r="N32" s="116">
        <f t="shared" ref="N32:N40" si="7">$M$4*M32*$M$7</f>
        <v>0.12706505606080001</v>
      </c>
      <c r="O32" s="116">
        <f t="shared" ref="O32:O40" si="8">$M$5*M32*$M$7</f>
        <v>0.15321411485380004</v>
      </c>
      <c r="P32" s="116">
        <f t="shared" ref="P32:P40" si="9">$M$6*M32*$M$7</f>
        <v>0.19011334226170001</v>
      </c>
    </row>
    <row r="33" spans="1:16" x14ac:dyDescent="0.25">
      <c r="B33" s="284">
        <v>8</v>
      </c>
      <c r="C33" s="288">
        <v>0.37</v>
      </c>
      <c r="K33">
        <v>22</v>
      </c>
      <c r="L33" s="116">
        <f t="shared" si="5"/>
        <v>0.22</v>
      </c>
      <c r="M33" s="116">
        <f t="shared" si="6"/>
        <v>0.18166398400000003</v>
      </c>
      <c r="N33" s="116">
        <f t="shared" si="7"/>
        <v>0.13108873085440004</v>
      </c>
      <c r="O33" s="116">
        <f t="shared" si="8"/>
        <v>0.15806583247840006</v>
      </c>
      <c r="P33" s="116">
        <f t="shared" si="9"/>
        <v>0.19613352032560005</v>
      </c>
    </row>
    <row r="34" spans="1:16" x14ac:dyDescent="0.25">
      <c r="B34" s="295" t="s">
        <v>233</v>
      </c>
      <c r="C34" s="288">
        <v>0.41</v>
      </c>
      <c r="K34">
        <v>23</v>
      </c>
      <c r="L34" s="116">
        <f t="shared" si="5"/>
        <v>0.23</v>
      </c>
      <c r="M34" s="116">
        <f t="shared" si="6"/>
        <v>0.18719728600000002</v>
      </c>
      <c r="N34" s="116">
        <f t="shared" si="7"/>
        <v>0.13508156157760004</v>
      </c>
      <c r="O34" s="116">
        <f t="shared" si="8"/>
        <v>0.16288035854860006</v>
      </c>
      <c r="P34" s="116">
        <f t="shared" si="9"/>
        <v>0.20210754982990006</v>
      </c>
    </row>
    <row r="35" spans="1:16" ht="15.75" thickBot="1" x14ac:dyDescent="0.3">
      <c r="B35" s="292">
        <v>15</v>
      </c>
      <c r="C35" s="293">
        <v>0.49</v>
      </c>
      <c r="K35">
        <v>24</v>
      </c>
      <c r="L35" s="116">
        <f t="shared" si="5"/>
        <v>0.24</v>
      </c>
      <c r="M35" s="116">
        <f t="shared" si="6"/>
        <v>0.19269299200000001</v>
      </c>
      <c r="N35" s="116">
        <f t="shared" si="7"/>
        <v>0.1390472630272</v>
      </c>
      <c r="O35" s="116">
        <f t="shared" si="8"/>
        <v>0.16766217233920003</v>
      </c>
      <c r="P35" s="116">
        <f t="shared" si="9"/>
        <v>0.20804098881280006</v>
      </c>
    </row>
    <row r="36" spans="1:16" x14ac:dyDescent="0.25">
      <c r="K36">
        <v>25</v>
      </c>
      <c r="L36" s="116">
        <f t="shared" si="5"/>
        <v>0.25</v>
      </c>
      <c r="M36" s="116">
        <f t="shared" si="6"/>
        <v>0.19815625000000001</v>
      </c>
      <c r="N36" s="116">
        <f t="shared" si="7"/>
        <v>0.14298955000000002</v>
      </c>
      <c r="O36" s="116">
        <f t="shared" si="8"/>
        <v>0.17241575312500004</v>
      </c>
      <c r="P36" s="116">
        <f t="shared" si="9"/>
        <v>0.21393939531250003</v>
      </c>
    </row>
    <row r="37" spans="1:16" x14ac:dyDescent="0.25">
      <c r="K37">
        <v>26</v>
      </c>
      <c r="L37" s="116">
        <f t="shared" si="5"/>
        <v>0.26</v>
      </c>
      <c r="M37" s="116">
        <f t="shared" si="6"/>
        <v>0.20359220800000002</v>
      </c>
      <c r="N37" s="116">
        <f t="shared" si="7"/>
        <v>0.14691213729280003</v>
      </c>
      <c r="O37" s="116">
        <f t="shared" si="8"/>
        <v>0.17714558018080004</v>
      </c>
      <c r="P37" s="116">
        <f t="shared" si="9"/>
        <v>0.21980832736720005</v>
      </c>
    </row>
    <row r="38" spans="1:16" x14ac:dyDescent="0.25">
      <c r="A38" t="s">
        <v>60</v>
      </c>
      <c r="K38">
        <v>27</v>
      </c>
      <c r="L38" s="116">
        <f t="shared" si="5"/>
        <v>0.27</v>
      </c>
      <c r="M38" s="116">
        <f t="shared" si="6"/>
        <v>0.20900601400000005</v>
      </c>
      <c r="N38" s="116">
        <f t="shared" si="7"/>
        <v>0.15081873970240006</v>
      </c>
      <c r="O38" s="116">
        <f t="shared" si="8"/>
        <v>0.18185613278140006</v>
      </c>
      <c r="P38" s="116">
        <f t="shared" si="9"/>
        <v>0.22565334301510009</v>
      </c>
    </row>
    <row r="39" spans="1:16" ht="15.75" thickBot="1" x14ac:dyDescent="0.3">
      <c r="E39" t="s">
        <v>63</v>
      </c>
      <c r="K39">
        <v>28</v>
      </c>
      <c r="L39" s="116">
        <f t="shared" si="5"/>
        <v>0.28000000000000003</v>
      </c>
      <c r="M39" s="116">
        <f t="shared" si="6"/>
        <v>0.21440281600000002</v>
      </c>
      <c r="N39" s="116">
        <f t="shared" si="7"/>
        <v>0.15471307202560006</v>
      </c>
      <c r="O39" s="116">
        <f t="shared" si="8"/>
        <v>0.18655189020160007</v>
      </c>
      <c r="P39" s="116">
        <f t="shared" si="9"/>
        <v>0.23148000029440005</v>
      </c>
    </row>
    <row r="40" spans="1:16" ht="21.75" thickBot="1" x14ac:dyDescent="0.4">
      <c r="A40" s="89" t="s">
        <v>64</v>
      </c>
      <c r="B40" s="90" t="s">
        <v>65</v>
      </c>
      <c r="E40" t="s">
        <v>66</v>
      </c>
      <c r="F40" t="s">
        <v>67</v>
      </c>
      <c r="K40">
        <v>29</v>
      </c>
      <c r="L40" s="116">
        <f t="shared" si="5"/>
        <v>0.28999999999999998</v>
      </c>
      <c r="M40" s="116">
        <f t="shared" si="6"/>
        <v>0.219787762</v>
      </c>
      <c r="N40" s="116">
        <f t="shared" si="7"/>
        <v>0.15859884905920002</v>
      </c>
      <c r="O40" s="116">
        <f t="shared" si="8"/>
        <v>0.19123733171620003</v>
      </c>
      <c r="P40" s="116">
        <f t="shared" si="9"/>
        <v>0.23729385724330004</v>
      </c>
    </row>
    <row r="41" spans="1:16" ht="16.5" thickTop="1" x14ac:dyDescent="0.25">
      <c r="A41" s="296">
        <v>0</v>
      </c>
      <c r="B41" s="111">
        <f t="shared" ref="B41:B104" si="10">0.858*A41^3-0.78*A41^2+0.774*A41+0.04</f>
        <v>0.04</v>
      </c>
      <c r="C41" s="107"/>
      <c r="E41" s="116">
        <v>0</v>
      </c>
      <c r="F41" s="116">
        <v>0</v>
      </c>
      <c r="G41">
        <f>0.16/25</f>
        <v>6.4000000000000003E-3</v>
      </c>
      <c r="K41">
        <v>30</v>
      </c>
      <c r="L41" s="116">
        <f t="shared" si="5"/>
        <v>0.3</v>
      </c>
      <c r="M41" s="116">
        <f t="shared" si="6"/>
        <v>0.22516600000000001</v>
      </c>
      <c r="N41" s="116">
        <f>$M$4*M41*$M$7</f>
        <v>0.16247978560000001</v>
      </c>
      <c r="O41" s="116">
        <f>$M$5*M41*$M$7</f>
        <v>0.19591693660000004</v>
      </c>
      <c r="P41" s="116">
        <f>$M$6*M41*$M$7</f>
        <v>0.24310047190000006</v>
      </c>
    </row>
    <row r="42" spans="1:16" ht="15.75" x14ac:dyDescent="0.25">
      <c r="A42" s="296">
        <v>0.01</v>
      </c>
      <c r="B42" s="111">
        <f t="shared" si="10"/>
        <v>4.7662858000000002E-2</v>
      </c>
      <c r="C42" s="107"/>
      <c r="E42" s="116">
        <v>0.01</v>
      </c>
      <c r="F42" s="116">
        <f>F41+$G$41</f>
        <v>6.4000000000000003E-3</v>
      </c>
      <c r="K42">
        <v>31</v>
      </c>
      <c r="L42" s="116">
        <f t="shared" si="5"/>
        <v>0.31</v>
      </c>
      <c r="M42" s="116">
        <f t="shared" si="6"/>
        <v>0.23054267800000003</v>
      </c>
      <c r="N42" s="116">
        <f t="shared" ref="N42:N50" si="11">$M$4*M42*$M$7</f>
        <v>0.16635959644480006</v>
      </c>
      <c r="O42" s="116">
        <f t="shared" ref="O42:O50" si="12">$M$5*M42*$M$7</f>
        <v>0.20059518412780006</v>
      </c>
      <c r="P42" s="116">
        <f t="shared" ref="P42:P50" si="13">$M$6*M42*$M$7</f>
        <v>0.24890540230270006</v>
      </c>
    </row>
    <row r="43" spans="1:16" ht="15.75" x14ac:dyDescent="0.25">
      <c r="A43" s="296">
        <v>0.02</v>
      </c>
      <c r="B43" s="111">
        <f t="shared" si="10"/>
        <v>5.5174864000000004E-2</v>
      </c>
      <c r="C43" s="107"/>
      <c r="E43" s="116">
        <v>0.02</v>
      </c>
      <c r="F43" s="116">
        <f t="shared" ref="F43:F65" si="14">F42+$G$41</f>
        <v>1.2800000000000001E-2</v>
      </c>
      <c r="K43">
        <v>32</v>
      </c>
      <c r="L43" s="116">
        <f t="shared" si="5"/>
        <v>0.32</v>
      </c>
      <c r="M43" s="116">
        <f t="shared" si="6"/>
        <v>0.235922944</v>
      </c>
      <c r="N43" s="116">
        <f t="shared" si="11"/>
        <v>0.17024199639040002</v>
      </c>
      <c r="O43" s="116">
        <f t="shared" si="12"/>
        <v>0.20527655357440003</v>
      </c>
      <c r="P43" s="116">
        <f t="shared" si="13"/>
        <v>0.25471420648960003</v>
      </c>
    </row>
    <row r="44" spans="1:16" ht="15.75" x14ac:dyDescent="0.25">
      <c r="A44" s="296">
        <v>0.03</v>
      </c>
      <c r="B44" s="111">
        <f t="shared" si="10"/>
        <v>6.2541166000000009E-2</v>
      </c>
      <c r="C44" s="107"/>
      <c r="E44" s="116">
        <v>0.03</v>
      </c>
      <c r="F44" s="116">
        <f t="shared" si="14"/>
        <v>1.9200000000000002E-2</v>
      </c>
      <c r="K44">
        <v>33</v>
      </c>
      <c r="L44" s="116">
        <f t="shared" si="5"/>
        <v>0.33</v>
      </c>
      <c r="M44" s="116">
        <f t="shared" si="6"/>
        <v>0.24131194600000003</v>
      </c>
      <c r="N44" s="116">
        <f t="shared" si="11"/>
        <v>0.17413070023360003</v>
      </c>
      <c r="O44" s="116">
        <f t="shared" si="12"/>
        <v>0.20996552421460007</v>
      </c>
      <c r="P44" s="116">
        <f t="shared" si="13"/>
        <v>0.26053244249890006</v>
      </c>
    </row>
    <row r="45" spans="1:16" ht="15.75" x14ac:dyDescent="0.25">
      <c r="A45" s="296">
        <v>0.04</v>
      </c>
      <c r="B45" s="111">
        <f t="shared" si="10"/>
        <v>6.9766912E-2</v>
      </c>
      <c r="C45" s="107"/>
      <c r="E45" s="116">
        <v>0.04</v>
      </c>
      <c r="F45" s="116">
        <f t="shared" si="14"/>
        <v>2.5600000000000001E-2</v>
      </c>
      <c r="K45">
        <v>34</v>
      </c>
      <c r="L45" s="116">
        <f t="shared" si="5"/>
        <v>0.34</v>
      </c>
      <c r="M45" s="116">
        <f t="shared" si="6"/>
        <v>0.246714832</v>
      </c>
      <c r="N45" s="116">
        <f t="shared" si="11"/>
        <v>0.17802942277120001</v>
      </c>
      <c r="O45" s="116">
        <f t="shared" si="12"/>
        <v>0.21466657532320002</v>
      </c>
      <c r="P45" s="116">
        <f t="shared" si="13"/>
        <v>0.26636566836880005</v>
      </c>
    </row>
    <row r="46" spans="1:16" ht="15.75" x14ac:dyDescent="0.25">
      <c r="A46" s="296">
        <v>0.05</v>
      </c>
      <c r="B46" s="111">
        <f t="shared" si="10"/>
        <v>7.6857250000000016E-2</v>
      </c>
      <c r="C46" s="107"/>
      <c r="E46" s="116">
        <v>0.05</v>
      </c>
      <c r="F46" s="116">
        <f t="shared" si="14"/>
        <v>3.2000000000000001E-2</v>
      </c>
      <c r="K46">
        <v>35</v>
      </c>
      <c r="L46" s="116">
        <f t="shared" si="5"/>
        <v>0.35</v>
      </c>
      <c r="M46" s="116">
        <f t="shared" si="6"/>
        <v>0.25213674999999997</v>
      </c>
      <c r="N46" s="116">
        <f t="shared" si="11"/>
        <v>0.18194187879999998</v>
      </c>
      <c r="O46" s="116">
        <f t="shared" si="12"/>
        <v>0.21938418617500002</v>
      </c>
      <c r="P46" s="116">
        <f t="shared" si="13"/>
        <v>0.27221944213749999</v>
      </c>
    </row>
    <row r="47" spans="1:16" ht="15.75" x14ac:dyDescent="0.25">
      <c r="A47" s="296">
        <v>0.06</v>
      </c>
      <c r="B47" s="111">
        <f t="shared" si="10"/>
        <v>8.3817327999999997E-2</v>
      </c>
      <c r="C47" s="107"/>
      <c r="E47" s="116">
        <v>0.06</v>
      </c>
      <c r="F47" s="116">
        <f t="shared" si="14"/>
        <v>3.8400000000000004E-2</v>
      </c>
      <c r="K47">
        <v>36</v>
      </c>
      <c r="L47" s="116">
        <f t="shared" si="5"/>
        <v>0.36</v>
      </c>
      <c r="M47" s="116">
        <f t="shared" si="6"/>
        <v>0.25758284799999998</v>
      </c>
      <c r="N47" s="116">
        <f t="shared" si="11"/>
        <v>0.1858717831168</v>
      </c>
      <c r="O47" s="116">
        <f t="shared" si="12"/>
        <v>0.22412283604480002</v>
      </c>
      <c r="P47" s="116">
        <f t="shared" si="13"/>
        <v>0.27809932184320002</v>
      </c>
    </row>
    <row r="48" spans="1:16" ht="15.75" x14ac:dyDescent="0.25">
      <c r="A48" s="296">
        <v>7.0000000000000007E-2</v>
      </c>
      <c r="B48" s="111">
        <f t="shared" si="10"/>
        <v>9.0652294000000008E-2</v>
      </c>
      <c r="C48" s="107"/>
      <c r="E48" s="116">
        <v>7.0000000000000007E-2</v>
      </c>
      <c r="F48" s="116">
        <f>F47+$G$41</f>
        <v>4.4800000000000006E-2</v>
      </c>
      <c r="K48">
        <v>37</v>
      </c>
      <c r="L48" s="116">
        <f t="shared" si="5"/>
        <v>0.37</v>
      </c>
      <c r="M48" s="116">
        <f t="shared" si="6"/>
        <v>0.26305827399999998</v>
      </c>
      <c r="N48" s="116">
        <f t="shared" si="11"/>
        <v>0.1898228505184</v>
      </c>
      <c r="O48" s="116">
        <f t="shared" si="12"/>
        <v>0.22888700420740002</v>
      </c>
      <c r="P48" s="116">
        <f t="shared" si="13"/>
        <v>0.28401086552410004</v>
      </c>
    </row>
    <row r="49" spans="1:16" ht="15.75" x14ac:dyDescent="0.25">
      <c r="A49" s="296">
        <v>0.08</v>
      </c>
      <c r="B49" s="111">
        <f t="shared" si="10"/>
        <v>9.7367295999999992E-2</v>
      </c>
      <c r="C49" s="107"/>
      <c r="E49" s="116">
        <v>0.08</v>
      </c>
      <c r="F49" s="116">
        <f t="shared" si="14"/>
        <v>5.1200000000000009E-2</v>
      </c>
      <c r="K49">
        <v>38</v>
      </c>
      <c r="L49" s="116">
        <f t="shared" si="5"/>
        <v>0.38</v>
      </c>
      <c r="M49" s="116">
        <f t="shared" si="6"/>
        <v>0.26856817599999999</v>
      </c>
      <c r="N49" s="116">
        <f t="shared" si="11"/>
        <v>0.1937987958016</v>
      </c>
      <c r="O49" s="116">
        <f t="shared" si="12"/>
        <v>0.23368116993760002</v>
      </c>
      <c r="P49" s="116">
        <f t="shared" si="13"/>
        <v>0.28995963121840002</v>
      </c>
    </row>
    <row r="50" spans="1:16" ht="15.75" x14ac:dyDescent="0.25">
      <c r="A50" s="297">
        <v>0.09</v>
      </c>
      <c r="B50" s="113">
        <f t="shared" si="10"/>
        <v>0.103967482</v>
      </c>
      <c r="C50" s="107"/>
      <c r="E50" s="116">
        <v>0.09</v>
      </c>
      <c r="F50" s="116">
        <f t="shared" si="14"/>
        <v>5.7600000000000012E-2</v>
      </c>
      <c r="K50">
        <v>39</v>
      </c>
      <c r="L50" s="116">
        <f t="shared" si="5"/>
        <v>0.39</v>
      </c>
      <c r="M50" s="116">
        <f t="shared" si="6"/>
        <v>0.27411770200000002</v>
      </c>
      <c r="N50" s="116">
        <f t="shared" si="11"/>
        <v>0.19780333376320003</v>
      </c>
      <c r="O50" s="116">
        <f t="shared" si="12"/>
        <v>0.23850981251020004</v>
      </c>
      <c r="P50" s="116">
        <f t="shared" si="13"/>
        <v>0.29595117696430007</v>
      </c>
    </row>
    <row r="51" spans="1:16" ht="15.75" x14ac:dyDescent="0.25">
      <c r="A51" s="296">
        <v>0.1</v>
      </c>
      <c r="B51" s="111">
        <f t="shared" si="10"/>
        <v>0.110458</v>
      </c>
      <c r="C51" s="107"/>
      <c r="E51" s="116">
        <v>0.1</v>
      </c>
      <c r="F51" s="116">
        <f t="shared" si="14"/>
        <v>6.4000000000000015E-2</v>
      </c>
      <c r="K51">
        <v>40</v>
      </c>
      <c r="L51" s="116">
        <f t="shared" si="5"/>
        <v>0.4</v>
      </c>
      <c r="M51" s="116">
        <f t="shared" si="6"/>
        <v>0.27971200000000002</v>
      </c>
      <c r="N51" s="116">
        <f>$M$4*M51*$M$7</f>
        <v>0.20184017920000002</v>
      </c>
      <c r="O51" s="116">
        <f>$M$5*M51*$M$7</f>
        <v>0.24337741120000003</v>
      </c>
      <c r="P51" s="116">
        <f>$M$6*M51*$M$7</f>
        <v>0.30199106080000004</v>
      </c>
    </row>
    <row r="52" spans="1:16" ht="15.75" x14ac:dyDescent="0.25">
      <c r="A52" s="296">
        <v>0.11</v>
      </c>
      <c r="B52" s="111">
        <f t="shared" si="10"/>
        <v>0.116843998</v>
      </c>
      <c r="C52" s="107"/>
      <c r="E52" s="116">
        <v>0.11</v>
      </c>
      <c r="F52" s="116">
        <f>F51+$G$41</f>
        <v>7.0400000000000018E-2</v>
      </c>
      <c r="K52">
        <v>41</v>
      </c>
      <c r="L52" s="116">
        <f t="shared" si="5"/>
        <v>0.41</v>
      </c>
      <c r="M52" s="116">
        <f t="shared" si="6"/>
        <v>0.28535621799999999</v>
      </c>
      <c r="N52" s="116">
        <f t="shared" ref="N52:N60" si="15">$M$4*M52*$M$7</f>
        <v>0.2059130469088</v>
      </c>
      <c r="O52" s="116">
        <f t="shared" ref="O52:O60" si="16">$M$5*M52*$M$7</f>
        <v>0.24828844528180002</v>
      </c>
      <c r="P52" s="116">
        <f t="shared" ref="P52:P60" si="17">$M$6*M52*$M$7</f>
        <v>0.30808484076370002</v>
      </c>
    </row>
    <row r="53" spans="1:16" ht="15.75" x14ac:dyDescent="0.25">
      <c r="A53" s="296">
        <v>0.12</v>
      </c>
      <c r="B53" s="111">
        <f t="shared" si="10"/>
        <v>0.12313062399999999</v>
      </c>
      <c r="C53" s="107"/>
      <c r="E53" s="116">
        <v>0.12</v>
      </c>
      <c r="F53" s="116">
        <f t="shared" si="14"/>
        <v>7.6800000000000021E-2</v>
      </c>
      <c r="K53">
        <v>42</v>
      </c>
      <c r="L53" s="116">
        <f t="shared" si="5"/>
        <v>0.42</v>
      </c>
      <c r="M53" s="116">
        <f t="shared" si="6"/>
        <v>0.29105550399999996</v>
      </c>
      <c r="N53" s="116">
        <f t="shared" si="15"/>
        <v>0.2100256516864</v>
      </c>
      <c r="O53" s="116">
        <f t="shared" si="16"/>
        <v>0.25324739403039997</v>
      </c>
      <c r="P53" s="116">
        <f t="shared" si="17"/>
        <v>0.31423807489360001</v>
      </c>
    </row>
    <row r="54" spans="1:16" ht="15.75" x14ac:dyDescent="0.25">
      <c r="A54" s="296">
        <v>0.13</v>
      </c>
      <c r="B54" s="111">
        <f t="shared" si="10"/>
        <v>0.12932302600000001</v>
      </c>
      <c r="C54" s="107"/>
      <c r="E54" s="116">
        <v>0.13</v>
      </c>
      <c r="F54" s="116">
        <f t="shared" si="14"/>
        <v>8.3200000000000024E-2</v>
      </c>
      <c r="K54">
        <v>43</v>
      </c>
      <c r="L54" s="116">
        <f t="shared" si="5"/>
        <v>0.43</v>
      </c>
      <c r="M54" s="116">
        <f t="shared" si="6"/>
        <v>0.29681500599999999</v>
      </c>
      <c r="N54" s="116">
        <f t="shared" si="15"/>
        <v>0.21418170832960004</v>
      </c>
      <c r="O54" s="116">
        <f t="shared" si="16"/>
        <v>0.25825873672060001</v>
      </c>
      <c r="P54" s="116">
        <f t="shared" si="17"/>
        <v>0.32045632122790002</v>
      </c>
    </row>
    <row r="55" spans="1:16" ht="15.75" x14ac:dyDescent="0.25">
      <c r="A55" s="296">
        <v>0.14000000000000001</v>
      </c>
      <c r="B55" s="111">
        <f t="shared" si="10"/>
        <v>0.135426352</v>
      </c>
      <c r="C55" s="107"/>
      <c r="E55" s="116">
        <v>0.14000000000000001</v>
      </c>
      <c r="F55" s="116">
        <f t="shared" si="14"/>
        <v>8.9600000000000027E-2</v>
      </c>
      <c r="K55">
        <v>44</v>
      </c>
      <c r="L55" s="116">
        <f t="shared" si="5"/>
        <v>0.44</v>
      </c>
      <c r="M55" s="116">
        <f t="shared" si="6"/>
        <v>0.30263987200000003</v>
      </c>
      <c r="N55" s="116">
        <f t="shared" si="15"/>
        <v>0.21838493163520004</v>
      </c>
      <c r="O55" s="116">
        <f t="shared" si="16"/>
        <v>0.26332695262720007</v>
      </c>
      <c r="P55" s="116">
        <f t="shared" si="17"/>
        <v>0.32674513780480008</v>
      </c>
    </row>
    <row r="56" spans="1:16" ht="15.75" x14ac:dyDescent="0.25">
      <c r="A56" s="296">
        <v>0.15</v>
      </c>
      <c r="B56" s="111">
        <f t="shared" si="10"/>
        <v>0.14144575000000001</v>
      </c>
      <c r="C56" s="107"/>
      <c r="E56" s="116">
        <v>0.15</v>
      </c>
      <c r="F56" s="116">
        <f t="shared" si="14"/>
        <v>9.600000000000003E-2</v>
      </c>
      <c r="K56">
        <v>45</v>
      </c>
      <c r="L56" s="116">
        <f t="shared" si="5"/>
        <v>0.45</v>
      </c>
      <c r="M56" s="116">
        <f t="shared" si="6"/>
        <v>0.30853524999999998</v>
      </c>
      <c r="N56" s="116">
        <f t="shared" si="15"/>
        <v>0.22263903639999999</v>
      </c>
      <c r="O56" s="116">
        <f t="shared" si="16"/>
        <v>0.26845652102500001</v>
      </c>
      <c r="P56" s="116">
        <f t="shared" si="17"/>
        <v>0.33311008266250003</v>
      </c>
    </row>
    <row r="57" spans="1:16" ht="15.75" x14ac:dyDescent="0.25">
      <c r="A57" s="296">
        <v>0.16</v>
      </c>
      <c r="B57" s="111">
        <f t="shared" si="10"/>
        <v>0.14738636800000002</v>
      </c>
      <c r="C57" s="107"/>
      <c r="E57" s="116">
        <v>0.16</v>
      </c>
      <c r="F57" s="116">
        <f t="shared" si="14"/>
        <v>0.10240000000000003</v>
      </c>
      <c r="K57">
        <v>46</v>
      </c>
      <c r="L57" s="116">
        <f t="shared" si="5"/>
        <v>0.46</v>
      </c>
      <c r="M57" s="116">
        <f t="shared" si="6"/>
        <v>0.31450628800000002</v>
      </c>
      <c r="N57" s="116">
        <f t="shared" si="15"/>
        <v>0.22694773742080004</v>
      </c>
      <c r="O57" s="116">
        <f t="shared" si="16"/>
        <v>0.27365192118880005</v>
      </c>
      <c r="P57" s="116">
        <f t="shared" si="17"/>
        <v>0.33955671383920005</v>
      </c>
    </row>
    <row r="58" spans="1:16" ht="15.75" x14ac:dyDescent="0.25">
      <c r="A58" s="296">
        <v>0.17</v>
      </c>
      <c r="B58" s="111">
        <f t="shared" si="10"/>
        <v>0.15325335400000001</v>
      </c>
      <c r="C58" s="107"/>
      <c r="E58" s="116">
        <v>0.17</v>
      </c>
      <c r="F58" s="116">
        <f>F57+$G$41</f>
        <v>0.10880000000000004</v>
      </c>
      <c r="K58">
        <v>47</v>
      </c>
      <c r="L58" s="116">
        <f t="shared" si="5"/>
        <v>0.47</v>
      </c>
      <c r="M58" s="116">
        <f t="shared" si="6"/>
        <v>0.32055813399999999</v>
      </c>
      <c r="N58" s="116">
        <f t="shared" si="15"/>
        <v>0.23131474949440001</v>
      </c>
      <c r="O58" s="116">
        <f t="shared" si="16"/>
        <v>0.27891763239340006</v>
      </c>
      <c r="P58" s="116">
        <f t="shared" si="17"/>
        <v>0.34609058937310005</v>
      </c>
    </row>
    <row r="59" spans="1:16" ht="15.75" x14ac:dyDescent="0.25">
      <c r="A59" s="296">
        <v>0.18</v>
      </c>
      <c r="B59" s="111">
        <f t="shared" si="10"/>
        <v>0.15905185599999999</v>
      </c>
      <c r="C59" s="107"/>
      <c r="E59" s="116">
        <v>0.18</v>
      </c>
      <c r="F59" s="116">
        <f t="shared" si="14"/>
        <v>0.11520000000000004</v>
      </c>
      <c r="K59">
        <v>48</v>
      </c>
      <c r="L59" s="116">
        <f t="shared" si="5"/>
        <v>0.48</v>
      </c>
      <c r="M59" s="116">
        <f t="shared" si="6"/>
        <v>0.32669593599999996</v>
      </c>
      <c r="N59" s="116">
        <f t="shared" si="15"/>
        <v>0.23574378741759999</v>
      </c>
      <c r="O59" s="116">
        <f t="shared" si="16"/>
        <v>0.2842581339136</v>
      </c>
      <c r="P59" s="116">
        <f t="shared" si="17"/>
        <v>0.35271726730239999</v>
      </c>
    </row>
    <row r="60" spans="1:16" ht="15.75" x14ac:dyDescent="0.25">
      <c r="A60" s="297">
        <v>0.19</v>
      </c>
      <c r="B60" s="113">
        <f t="shared" si="10"/>
        <v>0.16478702200000001</v>
      </c>
      <c r="C60" s="107"/>
      <c r="E60" s="116">
        <v>0.19</v>
      </c>
      <c r="F60" s="116">
        <f>F59+$G$41</f>
        <v>0.12160000000000004</v>
      </c>
      <c r="K60">
        <v>49</v>
      </c>
      <c r="L60" s="116">
        <f t="shared" si="5"/>
        <v>0.49</v>
      </c>
      <c r="M60" s="116">
        <f t="shared" si="6"/>
        <v>0.33292484199999994</v>
      </c>
      <c r="N60" s="116">
        <f t="shared" si="15"/>
        <v>0.24023856598719998</v>
      </c>
      <c r="O60" s="116">
        <f t="shared" si="16"/>
        <v>0.28967790502420004</v>
      </c>
      <c r="P60" s="116">
        <f t="shared" si="17"/>
        <v>0.35944230566529994</v>
      </c>
    </row>
    <row r="61" spans="1:16" ht="15.75" x14ac:dyDescent="0.25">
      <c r="A61" s="296">
        <v>0.2</v>
      </c>
      <c r="B61" s="111">
        <f t="shared" si="10"/>
        <v>0.17046400000000003</v>
      </c>
      <c r="C61" s="107"/>
      <c r="E61" s="116">
        <v>0.2</v>
      </c>
      <c r="F61" s="116">
        <f t="shared" si="14"/>
        <v>0.12800000000000003</v>
      </c>
      <c r="K61">
        <v>50</v>
      </c>
      <c r="L61" s="116">
        <f t="shared" si="5"/>
        <v>0.5</v>
      </c>
      <c r="M61" s="116">
        <f t="shared" si="6"/>
        <v>0.33925</v>
      </c>
      <c r="N61" s="116">
        <f>$M$4*M61*$M$7</f>
        <v>0.24480280000000001</v>
      </c>
      <c r="O61" s="116">
        <f>$M$5*M61*$M$7</f>
        <v>0.29518142500000005</v>
      </c>
      <c r="P61" s="116">
        <f>$M$6*M61*$M$7</f>
        <v>0.36627126250000008</v>
      </c>
    </row>
    <row r="62" spans="1:16" ht="15.75" x14ac:dyDescent="0.25">
      <c r="A62" s="296">
        <v>0.21</v>
      </c>
      <c r="B62" s="111">
        <f t="shared" si="10"/>
        <v>0.176087938</v>
      </c>
      <c r="C62" s="107"/>
      <c r="E62" s="116">
        <v>0.21</v>
      </c>
      <c r="F62" s="116">
        <f t="shared" si="14"/>
        <v>0.13440000000000002</v>
      </c>
      <c r="K62">
        <v>51</v>
      </c>
      <c r="L62" s="116">
        <f t="shared" si="5"/>
        <v>0.51</v>
      </c>
      <c r="M62" s="116">
        <f t="shared" si="6"/>
        <v>0.34567655800000002</v>
      </c>
      <c r="N62" s="116">
        <f t="shared" ref="N62:N70" si="18">$M$4*M62*$M$7</f>
        <v>0.24944020425280006</v>
      </c>
      <c r="O62" s="116">
        <f t="shared" ref="O62:O70" si="19">$M$5*M62*$M$7</f>
        <v>0.30077317311580004</v>
      </c>
      <c r="P62" s="116">
        <f t="shared" ref="P62:P70" si="20">$M$6*M62*$M$7</f>
        <v>0.37320969584470004</v>
      </c>
    </row>
    <row r="63" spans="1:16" ht="15.75" x14ac:dyDescent="0.25">
      <c r="A63" s="296">
        <v>0.22</v>
      </c>
      <c r="B63" s="111">
        <f t="shared" si="10"/>
        <v>0.18166398400000003</v>
      </c>
      <c r="C63" s="107"/>
      <c r="E63" s="116">
        <v>0.22</v>
      </c>
      <c r="F63" s="116">
        <f t="shared" si="14"/>
        <v>0.14080000000000001</v>
      </c>
      <c r="K63">
        <v>52</v>
      </c>
      <c r="L63" s="116">
        <f t="shared" si="5"/>
        <v>0.52</v>
      </c>
      <c r="M63" s="116">
        <f t="shared" si="6"/>
        <v>0.35220966399999998</v>
      </c>
      <c r="N63" s="116">
        <f t="shared" si="18"/>
        <v>0.2541544935424</v>
      </c>
      <c r="O63" s="116">
        <f t="shared" si="19"/>
        <v>0.30645762864639997</v>
      </c>
      <c r="P63" s="116">
        <f t="shared" si="20"/>
        <v>0.3802631637376</v>
      </c>
    </row>
    <row r="64" spans="1:16" ht="15.75" x14ac:dyDescent="0.25">
      <c r="A64" s="296">
        <v>0.23</v>
      </c>
      <c r="B64" s="111">
        <f t="shared" si="10"/>
        <v>0.18719728600000002</v>
      </c>
      <c r="C64" s="107"/>
      <c r="E64" s="116">
        <v>0.23</v>
      </c>
      <c r="F64" s="116">
        <f t="shared" si="14"/>
        <v>0.1472</v>
      </c>
      <c r="K64">
        <v>53</v>
      </c>
      <c r="L64" s="116">
        <f t="shared" si="5"/>
        <v>0.53</v>
      </c>
      <c r="M64" s="116">
        <f t="shared" si="6"/>
        <v>0.35885446599999998</v>
      </c>
      <c r="N64" s="116">
        <f t="shared" si="18"/>
        <v>0.25894938266560003</v>
      </c>
      <c r="O64" s="116">
        <f t="shared" si="19"/>
        <v>0.31223927086659997</v>
      </c>
      <c r="P64" s="116">
        <f t="shared" si="20"/>
        <v>0.38743722421690002</v>
      </c>
    </row>
    <row r="65" spans="1:16" ht="15.75" x14ac:dyDescent="0.25">
      <c r="A65" s="296">
        <v>0.24</v>
      </c>
      <c r="B65" s="111">
        <f t="shared" si="10"/>
        <v>0.19269299200000001</v>
      </c>
      <c r="C65" s="107"/>
      <c r="E65" s="116">
        <v>0.24</v>
      </c>
      <c r="F65" s="116">
        <f t="shared" si="14"/>
        <v>0.15359999999999999</v>
      </c>
      <c r="K65">
        <v>54</v>
      </c>
      <c r="L65" s="116">
        <f t="shared" si="5"/>
        <v>0.54</v>
      </c>
      <c r="M65" s="116">
        <f t="shared" si="6"/>
        <v>0.36561611200000005</v>
      </c>
      <c r="N65" s="116">
        <f t="shared" si="18"/>
        <v>0.2638285864192001</v>
      </c>
      <c r="O65" s="116">
        <f t="shared" si="19"/>
        <v>0.31812257905120012</v>
      </c>
      <c r="P65" s="116">
        <f t="shared" si="20"/>
        <v>0.39473743532080008</v>
      </c>
    </row>
    <row r="66" spans="1:16" ht="15.75" x14ac:dyDescent="0.25">
      <c r="A66" s="296">
        <v>0.25</v>
      </c>
      <c r="B66" s="111">
        <f t="shared" si="10"/>
        <v>0.19815625000000001</v>
      </c>
      <c r="C66" s="107"/>
      <c r="E66" s="116">
        <v>0.25</v>
      </c>
      <c r="F66" s="116">
        <v>0.16</v>
      </c>
      <c r="G66" t="s">
        <v>77</v>
      </c>
      <c r="K66">
        <v>55</v>
      </c>
      <c r="L66" s="116">
        <f t="shared" si="5"/>
        <v>0.55000000000000004</v>
      </c>
      <c r="M66" s="116">
        <f t="shared" si="6"/>
        <v>0.37249974999999996</v>
      </c>
      <c r="N66" s="116">
        <f t="shared" si="18"/>
        <v>0.26879581960000004</v>
      </c>
      <c r="O66" s="116">
        <f t="shared" si="19"/>
        <v>0.32411203247499998</v>
      </c>
      <c r="P66" s="116">
        <f t="shared" si="20"/>
        <v>0.40216935508750001</v>
      </c>
    </row>
    <row r="67" spans="1:16" ht="15.75" x14ac:dyDescent="0.25">
      <c r="A67" s="296">
        <v>0.26</v>
      </c>
      <c r="B67" s="111">
        <f t="shared" si="10"/>
        <v>0.20359220800000002</v>
      </c>
      <c r="C67" s="107"/>
      <c r="E67" s="116">
        <v>0.26</v>
      </c>
      <c r="F67" s="116">
        <f>F66+$G$68</f>
        <v>0.16839999999999999</v>
      </c>
      <c r="G67" t="s">
        <v>78</v>
      </c>
      <c r="K67">
        <v>56</v>
      </c>
      <c r="L67" s="116">
        <f t="shared" si="5"/>
        <v>0.56000000000000005</v>
      </c>
      <c r="M67" s="116">
        <f t="shared" si="6"/>
        <v>0.37951052800000001</v>
      </c>
      <c r="N67" s="116">
        <f t="shared" si="18"/>
        <v>0.27385479700480003</v>
      </c>
      <c r="O67" s="116">
        <f t="shared" si="19"/>
        <v>0.33021211041280008</v>
      </c>
      <c r="P67" s="116">
        <f t="shared" si="20"/>
        <v>0.40973854155520006</v>
      </c>
    </row>
    <row r="68" spans="1:16" ht="15.75" x14ac:dyDescent="0.25">
      <c r="A68" s="296">
        <v>0.27</v>
      </c>
      <c r="B68" s="111">
        <f t="shared" si="10"/>
        <v>0.20900601400000005</v>
      </c>
      <c r="C68" s="107"/>
      <c r="E68" s="116">
        <v>0.27</v>
      </c>
      <c r="F68" s="116">
        <f t="shared" ref="F68:F90" si="21">F67+$G$68</f>
        <v>0.17679999999999998</v>
      </c>
      <c r="G68">
        <f>(F91-F66)/25</f>
        <v>8.3999999999999995E-3</v>
      </c>
      <c r="K68">
        <v>57</v>
      </c>
      <c r="L68" s="116">
        <f t="shared" si="5"/>
        <v>0.56999999999999995</v>
      </c>
      <c r="M68" s="116">
        <f t="shared" si="6"/>
        <v>0.38665359399999993</v>
      </c>
      <c r="N68" s="116">
        <f t="shared" si="18"/>
        <v>0.27900923343039996</v>
      </c>
      <c r="O68" s="116">
        <f t="shared" si="19"/>
        <v>0.33642729213939998</v>
      </c>
      <c r="P68" s="116">
        <f t="shared" si="20"/>
        <v>0.41745055276209997</v>
      </c>
    </row>
    <row r="69" spans="1:16" ht="15.75" x14ac:dyDescent="0.25">
      <c r="A69" s="296">
        <v>0.28000000000000003</v>
      </c>
      <c r="B69" s="111">
        <f t="shared" si="10"/>
        <v>0.21440281600000002</v>
      </c>
      <c r="C69" s="107"/>
      <c r="E69" s="116">
        <v>0.28000000000000003</v>
      </c>
      <c r="F69" s="116">
        <f t="shared" si="21"/>
        <v>0.18519999999999998</v>
      </c>
      <c r="K69">
        <v>58</v>
      </c>
      <c r="L69" s="116">
        <f t="shared" si="5"/>
        <v>0.57999999999999996</v>
      </c>
      <c r="M69" s="116">
        <f t="shared" si="6"/>
        <v>0.3939340959999999</v>
      </c>
      <c r="N69" s="116">
        <f t="shared" si="18"/>
        <v>0.2842628436736</v>
      </c>
      <c r="O69" s="116">
        <f t="shared" si="19"/>
        <v>0.34276205692959993</v>
      </c>
      <c r="P69" s="116">
        <f t="shared" si="20"/>
        <v>0.42531094674639991</v>
      </c>
    </row>
    <row r="70" spans="1:16" ht="16.5" thickBot="1" x14ac:dyDescent="0.3">
      <c r="A70" s="298">
        <v>0.28999999999999998</v>
      </c>
      <c r="B70" s="115">
        <f t="shared" si="10"/>
        <v>0.219787762</v>
      </c>
      <c r="C70" s="107"/>
      <c r="E70" s="116">
        <v>0.28999999999999998</v>
      </c>
      <c r="F70" s="116">
        <f t="shared" si="21"/>
        <v>0.19359999999999997</v>
      </c>
      <c r="K70">
        <v>59</v>
      </c>
      <c r="L70" s="116">
        <f t="shared" si="5"/>
        <v>0.59</v>
      </c>
      <c r="M70" s="116">
        <f t="shared" si="6"/>
        <v>0.40135718199999998</v>
      </c>
      <c r="N70" s="116">
        <f t="shared" si="18"/>
        <v>0.28961934253120003</v>
      </c>
      <c r="O70" s="116">
        <f t="shared" si="19"/>
        <v>0.34922088405820001</v>
      </c>
      <c r="P70" s="116">
        <f t="shared" si="20"/>
        <v>0.43332528154630007</v>
      </c>
    </row>
    <row r="71" spans="1:16" ht="15.75" x14ac:dyDescent="0.25">
      <c r="A71" s="296">
        <v>0.3</v>
      </c>
      <c r="B71" s="111">
        <f t="shared" si="10"/>
        <v>0.22516600000000001</v>
      </c>
      <c r="E71" s="116">
        <v>0.3</v>
      </c>
      <c r="F71" s="116">
        <f t="shared" si="21"/>
        <v>0.20199999999999996</v>
      </c>
      <c r="K71">
        <v>60</v>
      </c>
      <c r="L71" s="116">
        <f t="shared" si="5"/>
        <v>0.6</v>
      </c>
      <c r="M71" s="116">
        <f t="shared" si="6"/>
        <v>0.40892799999999996</v>
      </c>
      <c r="N71" s="116">
        <f>$M$4*M71*$M$7</f>
        <v>0.29508244480000001</v>
      </c>
      <c r="O71" s="116">
        <f>$M$5*M71*$M$7</f>
        <v>0.35580825280000006</v>
      </c>
      <c r="P71" s="116">
        <f>$M$6*M71*$M$7</f>
        <v>0.44149911520000001</v>
      </c>
    </row>
    <row r="72" spans="1:16" ht="15.75" x14ac:dyDescent="0.25">
      <c r="A72" s="296">
        <v>0.31</v>
      </c>
      <c r="B72" s="111">
        <f t="shared" si="10"/>
        <v>0.23054267800000003</v>
      </c>
      <c r="E72" s="116">
        <v>0.31</v>
      </c>
      <c r="F72" s="116">
        <f t="shared" si="21"/>
        <v>0.21039999999999995</v>
      </c>
      <c r="K72">
        <v>61</v>
      </c>
      <c r="L72" s="116">
        <f t="shared" si="5"/>
        <v>0.61</v>
      </c>
      <c r="M72" s="116">
        <f t="shared" si="6"/>
        <v>0.41665169799999996</v>
      </c>
      <c r="N72" s="116">
        <f t="shared" ref="N72:N80" si="22">$M$4*M72*$M$7</f>
        <v>0.30065586527679999</v>
      </c>
      <c r="O72" s="116">
        <f t="shared" ref="O72:O80" si="23">$M$5*M72*$M$7</f>
        <v>0.36252864242980004</v>
      </c>
      <c r="P72" s="116">
        <f t="shared" ref="P72:P80" si="24">$M$6*M72*$M$7</f>
        <v>0.44983800574569999</v>
      </c>
    </row>
    <row r="73" spans="1:16" ht="15.75" x14ac:dyDescent="0.25">
      <c r="A73" s="296">
        <v>0.32</v>
      </c>
      <c r="B73" s="111">
        <f t="shared" si="10"/>
        <v>0.235922944</v>
      </c>
      <c r="E73" s="116">
        <v>0.32</v>
      </c>
      <c r="F73" s="116">
        <f t="shared" si="21"/>
        <v>0.21879999999999994</v>
      </c>
      <c r="K73">
        <v>62</v>
      </c>
      <c r="L73" s="116">
        <f t="shared" si="5"/>
        <v>0.62</v>
      </c>
      <c r="M73" s="116">
        <f t="shared" si="6"/>
        <v>0.42453342399999999</v>
      </c>
      <c r="N73" s="116">
        <f t="shared" si="22"/>
        <v>0.30634331875839999</v>
      </c>
      <c r="O73" s="116">
        <f t="shared" si="23"/>
        <v>0.36938653222240003</v>
      </c>
      <c r="P73" s="116">
        <f t="shared" si="24"/>
        <v>0.45834751122160006</v>
      </c>
    </row>
    <row r="74" spans="1:16" ht="15.75" x14ac:dyDescent="0.25">
      <c r="A74" s="296">
        <v>0.33</v>
      </c>
      <c r="B74" s="111">
        <f t="shared" si="10"/>
        <v>0.24131194600000003</v>
      </c>
      <c r="E74" s="116">
        <v>0.33</v>
      </c>
      <c r="F74" s="116">
        <f t="shared" si="21"/>
        <v>0.22719999999999993</v>
      </c>
      <c r="K74">
        <v>63</v>
      </c>
      <c r="L74" s="116">
        <f t="shared" si="5"/>
        <v>0.63</v>
      </c>
      <c r="M74" s="116">
        <f t="shared" si="6"/>
        <v>0.43257832599999996</v>
      </c>
      <c r="N74" s="116">
        <f t="shared" si="22"/>
        <v>0.31214852004159999</v>
      </c>
      <c r="O74" s="116">
        <f t="shared" si="23"/>
        <v>0.37638640145260005</v>
      </c>
      <c r="P74" s="116">
        <f t="shared" si="24"/>
        <v>0.46703318966590002</v>
      </c>
    </row>
    <row r="75" spans="1:16" ht="15.75" x14ac:dyDescent="0.25">
      <c r="A75" s="296">
        <v>0.34</v>
      </c>
      <c r="B75" s="111">
        <f t="shared" si="10"/>
        <v>0.246714832</v>
      </c>
      <c r="E75" s="116">
        <v>0.34</v>
      </c>
      <c r="F75" s="116">
        <f t="shared" si="21"/>
        <v>0.23559999999999992</v>
      </c>
      <c r="K75">
        <v>64</v>
      </c>
      <c r="L75" s="116">
        <f t="shared" si="5"/>
        <v>0.64</v>
      </c>
      <c r="M75" s="116">
        <f t="shared" si="6"/>
        <v>0.44079155199999998</v>
      </c>
      <c r="N75" s="116">
        <f t="shared" si="22"/>
        <v>0.3180751839232</v>
      </c>
      <c r="O75" s="116">
        <f t="shared" si="23"/>
        <v>0.38353272939520006</v>
      </c>
      <c r="P75" s="116">
        <f t="shared" si="24"/>
        <v>0.47590059911680005</v>
      </c>
    </row>
    <row r="76" spans="1:16" ht="15.75" x14ac:dyDescent="0.25">
      <c r="A76" s="296">
        <v>0.35</v>
      </c>
      <c r="B76" s="111">
        <f t="shared" si="10"/>
        <v>0.25213674999999997</v>
      </c>
      <c r="E76" s="116">
        <v>0.35</v>
      </c>
      <c r="F76" s="116">
        <f t="shared" si="21"/>
        <v>0.24399999999999991</v>
      </c>
      <c r="K76">
        <v>65</v>
      </c>
      <c r="L76" s="116">
        <f t="shared" si="5"/>
        <v>0.65</v>
      </c>
      <c r="M76" s="116">
        <f t="shared" si="6"/>
        <v>0.44917824999999995</v>
      </c>
      <c r="N76" s="116">
        <f t="shared" si="22"/>
        <v>0.32412702520000003</v>
      </c>
      <c r="O76" s="116">
        <f t="shared" si="23"/>
        <v>0.39082999532500001</v>
      </c>
      <c r="P76" s="116">
        <f t="shared" si="24"/>
        <v>0.4849552976125</v>
      </c>
    </row>
    <row r="77" spans="1:16" ht="15.75" x14ac:dyDescent="0.25">
      <c r="A77" s="296">
        <v>0.36</v>
      </c>
      <c r="B77" s="111">
        <f t="shared" si="10"/>
        <v>0.25758284799999998</v>
      </c>
      <c r="E77" s="116">
        <v>0.36</v>
      </c>
      <c r="F77" s="116">
        <f t="shared" si="21"/>
        <v>0.2523999999999999</v>
      </c>
      <c r="K77">
        <v>66</v>
      </c>
      <c r="L77" s="116">
        <f t="shared" si="5"/>
        <v>0.66</v>
      </c>
      <c r="M77" s="116">
        <f t="shared" si="6"/>
        <v>0.45774356799999999</v>
      </c>
      <c r="N77" s="116">
        <f t="shared" si="22"/>
        <v>0.33030775866880002</v>
      </c>
      <c r="O77" s="116">
        <f t="shared" si="23"/>
        <v>0.39828267851680005</v>
      </c>
      <c r="P77" s="116">
        <f t="shared" si="24"/>
        <v>0.49420284319120006</v>
      </c>
    </row>
    <row r="78" spans="1:16" ht="15.75" x14ac:dyDescent="0.25">
      <c r="A78" s="296">
        <v>0.37</v>
      </c>
      <c r="B78" s="111">
        <f t="shared" si="10"/>
        <v>0.26305827399999998</v>
      </c>
      <c r="E78" s="116">
        <v>0.37</v>
      </c>
      <c r="F78" s="116">
        <f t="shared" si="21"/>
        <v>0.26079999999999992</v>
      </c>
      <c r="K78">
        <v>67</v>
      </c>
      <c r="L78" s="116">
        <f t="shared" si="5"/>
        <v>0.67</v>
      </c>
      <c r="M78" s="116">
        <f t="shared" si="6"/>
        <v>0.46649265400000001</v>
      </c>
      <c r="N78" s="116">
        <f t="shared" si="22"/>
        <v>0.33662109912640004</v>
      </c>
      <c r="O78" s="116">
        <f t="shared" si="23"/>
        <v>0.40589525824540001</v>
      </c>
      <c r="P78" s="116">
        <f t="shared" si="24"/>
        <v>0.50364879389110007</v>
      </c>
    </row>
    <row r="79" spans="1:16" ht="15.75" x14ac:dyDescent="0.25">
      <c r="A79" s="296">
        <v>0.38</v>
      </c>
      <c r="B79" s="111">
        <f t="shared" si="10"/>
        <v>0.26856817599999999</v>
      </c>
      <c r="E79" s="116">
        <v>0.38</v>
      </c>
      <c r="F79" s="116">
        <f t="shared" si="21"/>
        <v>0.26919999999999994</v>
      </c>
      <c r="K79">
        <v>68</v>
      </c>
      <c r="L79" s="116">
        <f t="shared" si="5"/>
        <v>0.68</v>
      </c>
      <c r="M79" s="116">
        <f t="shared" si="6"/>
        <v>0.47543065599999995</v>
      </c>
      <c r="N79" s="116">
        <f t="shared" si="22"/>
        <v>0.34307076136960002</v>
      </c>
      <c r="O79" s="116">
        <f t="shared" si="23"/>
        <v>0.41367221378559998</v>
      </c>
      <c r="P79" s="116">
        <f t="shared" si="24"/>
        <v>0.51329870775039999</v>
      </c>
    </row>
    <row r="80" spans="1:16" ht="15.75" x14ac:dyDescent="0.25">
      <c r="A80" s="297">
        <v>0.39</v>
      </c>
      <c r="B80" s="113">
        <f t="shared" si="10"/>
        <v>0.27411770200000002</v>
      </c>
      <c r="E80" s="116">
        <v>0.39</v>
      </c>
      <c r="F80" s="116">
        <f t="shared" si="21"/>
        <v>0.27759999999999996</v>
      </c>
      <c r="K80">
        <v>69</v>
      </c>
      <c r="L80" s="116">
        <f t="shared" si="5"/>
        <v>0.69</v>
      </c>
      <c r="M80" s="116">
        <f t="shared" si="6"/>
        <v>0.48456272199999995</v>
      </c>
      <c r="N80" s="116">
        <f t="shared" si="22"/>
        <v>0.34966046019520003</v>
      </c>
      <c r="O80" s="116">
        <f t="shared" si="23"/>
        <v>0.42161802441220003</v>
      </c>
      <c r="P80" s="116">
        <f t="shared" si="24"/>
        <v>0.5231581428073</v>
      </c>
    </row>
    <row r="81" spans="1:16" ht="15.75" x14ac:dyDescent="0.25">
      <c r="A81" s="296">
        <v>0.4</v>
      </c>
      <c r="B81" s="111">
        <f t="shared" si="10"/>
        <v>0.27971200000000002</v>
      </c>
      <c r="E81" s="116">
        <v>0.4</v>
      </c>
      <c r="F81" s="116">
        <f t="shared" si="21"/>
        <v>0.28599999999999998</v>
      </c>
      <c r="K81">
        <v>70</v>
      </c>
      <c r="L81" s="116">
        <f t="shared" si="5"/>
        <v>0.7</v>
      </c>
      <c r="M81" s="116">
        <f t="shared" si="6"/>
        <v>0.49389399999999989</v>
      </c>
      <c r="N81" s="116">
        <f>$M$4*M81*$M$7</f>
        <v>0.35639391039999996</v>
      </c>
      <c r="O81" s="116">
        <f>$M$5*M81*$M$7</f>
        <v>0.42973716939999995</v>
      </c>
      <c r="P81" s="116">
        <f>$M$6*M81*$M$7</f>
        <v>0.53323265710000001</v>
      </c>
    </row>
    <row r="82" spans="1:16" ht="15.75" x14ac:dyDescent="0.25">
      <c r="A82" s="296">
        <v>0.41</v>
      </c>
      <c r="B82" s="111">
        <f t="shared" si="10"/>
        <v>0.28535621799999999</v>
      </c>
      <c r="E82" s="116">
        <v>0.41</v>
      </c>
      <c r="F82" s="116">
        <f t="shared" si="21"/>
        <v>0.2944</v>
      </c>
      <c r="K82">
        <v>71</v>
      </c>
      <c r="L82" s="116">
        <f t="shared" si="5"/>
        <v>0.71</v>
      </c>
      <c r="M82" s="116">
        <f t="shared" si="6"/>
        <v>0.50342963800000007</v>
      </c>
      <c r="N82" s="116">
        <f t="shared" ref="N82:N90" si="25">$M$4*M82*$M$7</f>
        <v>0.36327482678080009</v>
      </c>
      <c r="O82" s="116">
        <f t="shared" ref="O82:O90" si="26">$M$5*M82*$M$7</f>
        <v>0.43803412802380015</v>
      </c>
      <c r="P82" s="116">
        <f t="shared" ref="P82:P90" si="27">$M$6*M82*$M$7</f>
        <v>0.54352780866670014</v>
      </c>
    </row>
    <row r="83" spans="1:16" ht="15.75" x14ac:dyDescent="0.25">
      <c r="A83" s="296">
        <v>0.42</v>
      </c>
      <c r="B83" s="111">
        <f t="shared" si="10"/>
        <v>0.29105550399999996</v>
      </c>
      <c r="E83" s="116">
        <v>0.42</v>
      </c>
      <c r="F83" s="116">
        <f t="shared" si="21"/>
        <v>0.30280000000000001</v>
      </c>
      <c r="K83">
        <v>72</v>
      </c>
      <c r="L83" s="116">
        <f t="shared" si="5"/>
        <v>0.72</v>
      </c>
      <c r="M83" s="116">
        <f t="shared" si="6"/>
        <v>0.51317478399999994</v>
      </c>
      <c r="N83" s="116">
        <f t="shared" si="25"/>
        <v>0.37030692413440003</v>
      </c>
      <c r="O83" s="116">
        <f t="shared" si="26"/>
        <v>0.44651337955840004</v>
      </c>
      <c r="P83" s="116">
        <f t="shared" si="27"/>
        <v>0.55404915554560008</v>
      </c>
    </row>
    <row r="84" spans="1:16" ht="15.75" x14ac:dyDescent="0.25">
      <c r="A84" s="296">
        <v>0.43</v>
      </c>
      <c r="B84" s="111">
        <f t="shared" si="10"/>
        <v>0.29681500599999999</v>
      </c>
      <c r="E84" s="116">
        <v>0.43</v>
      </c>
      <c r="F84" s="116">
        <f t="shared" si="21"/>
        <v>0.31120000000000003</v>
      </c>
      <c r="K84">
        <v>73</v>
      </c>
      <c r="L84" s="116">
        <f t="shared" si="5"/>
        <v>0.73</v>
      </c>
      <c r="M84" s="116">
        <f t="shared" si="6"/>
        <v>0.52313458599999996</v>
      </c>
      <c r="N84" s="116">
        <f t="shared" si="25"/>
        <v>0.37749391725760006</v>
      </c>
      <c r="O84" s="116">
        <f t="shared" si="26"/>
        <v>0.45517940327860001</v>
      </c>
      <c r="P84" s="116">
        <f t="shared" si="27"/>
        <v>0.56480225577490006</v>
      </c>
    </row>
    <row r="85" spans="1:16" ht="15.75" x14ac:dyDescent="0.25">
      <c r="A85" s="296">
        <v>0.44</v>
      </c>
      <c r="B85" s="111">
        <f t="shared" si="10"/>
        <v>0.30263987200000003</v>
      </c>
      <c r="E85" s="116">
        <v>0.44</v>
      </c>
      <c r="F85" s="116">
        <f t="shared" si="21"/>
        <v>0.31960000000000005</v>
      </c>
      <c r="K85">
        <v>74</v>
      </c>
      <c r="L85" s="116">
        <f t="shared" si="5"/>
        <v>0.74</v>
      </c>
      <c r="M85" s="116">
        <f t="shared" si="6"/>
        <v>0.53331419199999996</v>
      </c>
      <c r="N85" s="116">
        <f t="shared" si="25"/>
        <v>0.38483952094720003</v>
      </c>
      <c r="O85" s="116">
        <f t="shared" si="26"/>
        <v>0.46403667845919999</v>
      </c>
      <c r="P85" s="116">
        <f t="shared" si="27"/>
        <v>0.57579266739279999</v>
      </c>
    </row>
    <row r="86" spans="1:16" ht="15.75" x14ac:dyDescent="0.25">
      <c r="A86" s="296">
        <v>0.45</v>
      </c>
      <c r="B86" s="111">
        <f t="shared" si="10"/>
        <v>0.30853524999999998</v>
      </c>
      <c r="E86" s="116">
        <v>0.45</v>
      </c>
      <c r="F86" s="116">
        <f t="shared" si="21"/>
        <v>0.32800000000000007</v>
      </c>
      <c r="K86">
        <v>75</v>
      </c>
      <c r="L86" s="116">
        <f t="shared" si="5"/>
        <v>0.75</v>
      </c>
      <c r="M86" s="116">
        <f t="shared" si="6"/>
        <v>0.54371875000000003</v>
      </c>
      <c r="N86" s="116">
        <f t="shared" si="25"/>
        <v>0.3923474500000001</v>
      </c>
      <c r="O86" s="116">
        <f t="shared" si="26"/>
        <v>0.4730896843750001</v>
      </c>
      <c r="P86" s="116">
        <f t="shared" si="27"/>
        <v>0.58702594843750011</v>
      </c>
    </row>
    <row r="87" spans="1:16" ht="15.75" x14ac:dyDescent="0.25">
      <c r="A87" s="296">
        <v>0.46</v>
      </c>
      <c r="B87" s="111">
        <f t="shared" si="10"/>
        <v>0.31450628800000002</v>
      </c>
      <c r="E87" s="116">
        <v>0.46</v>
      </c>
      <c r="F87" s="116">
        <f t="shared" si="21"/>
        <v>0.33640000000000009</v>
      </c>
      <c r="K87">
        <v>76</v>
      </c>
      <c r="L87" s="116">
        <f t="shared" si="5"/>
        <v>0.76</v>
      </c>
      <c r="M87" s="116">
        <f t="shared" si="6"/>
        <v>0.55435340799999999</v>
      </c>
      <c r="N87" s="116">
        <f t="shared" si="25"/>
        <v>0.40002141921280004</v>
      </c>
      <c r="O87" s="116">
        <f t="shared" si="26"/>
        <v>0.48234290030080007</v>
      </c>
      <c r="P87" s="116">
        <f t="shared" si="27"/>
        <v>0.5985076569472001</v>
      </c>
    </row>
    <row r="88" spans="1:16" ht="15.75" x14ac:dyDescent="0.25">
      <c r="A88" s="296">
        <v>0.47</v>
      </c>
      <c r="B88" s="111">
        <f t="shared" si="10"/>
        <v>0.32055813399999999</v>
      </c>
      <c r="E88" s="116">
        <v>0.47</v>
      </c>
      <c r="F88" s="116">
        <f t="shared" si="21"/>
        <v>0.34480000000000011</v>
      </c>
      <c r="K88">
        <v>77</v>
      </c>
      <c r="L88" s="116">
        <f t="shared" si="5"/>
        <v>0.77</v>
      </c>
      <c r="M88" s="116">
        <f t="shared" si="6"/>
        <v>0.56522331400000014</v>
      </c>
      <c r="N88" s="116">
        <f t="shared" si="25"/>
        <v>0.40786514338240015</v>
      </c>
      <c r="O88" s="116">
        <f t="shared" si="26"/>
        <v>0.49180080551140021</v>
      </c>
      <c r="P88" s="116">
        <f t="shared" si="27"/>
        <v>0.61024335096010018</v>
      </c>
    </row>
    <row r="89" spans="1:16" ht="15.75" x14ac:dyDescent="0.25">
      <c r="A89" s="296">
        <v>0.48</v>
      </c>
      <c r="B89" s="111">
        <f t="shared" si="10"/>
        <v>0.32669593599999996</v>
      </c>
      <c r="E89" s="116">
        <v>0.48</v>
      </c>
      <c r="F89" s="116">
        <f t="shared" si="21"/>
        <v>0.35320000000000012</v>
      </c>
      <c r="K89">
        <v>78</v>
      </c>
      <c r="L89" s="116">
        <f t="shared" si="5"/>
        <v>0.78</v>
      </c>
      <c r="M89" s="116">
        <f t="shared" si="6"/>
        <v>0.5763336160000001</v>
      </c>
      <c r="N89" s="116">
        <f t="shared" si="25"/>
        <v>0.41588233730560009</v>
      </c>
      <c r="O89" s="116">
        <f t="shared" si="26"/>
        <v>0.50146787928160019</v>
      </c>
      <c r="P89" s="116">
        <f t="shared" si="27"/>
        <v>0.62223858851440028</v>
      </c>
    </row>
    <row r="90" spans="1:16" ht="15.75" x14ac:dyDescent="0.25">
      <c r="A90" s="297">
        <v>0.49</v>
      </c>
      <c r="B90" s="113">
        <f t="shared" si="10"/>
        <v>0.33292484199999994</v>
      </c>
      <c r="E90" s="116">
        <v>0.49</v>
      </c>
      <c r="F90" s="116">
        <f t="shared" si="21"/>
        <v>0.36160000000000014</v>
      </c>
      <c r="K90">
        <v>79</v>
      </c>
      <c r="L90" s="116">
        <f t="shared" si="5"/>
        <v>0.79</v>
      </c>
      <c r="M90" s="116">
        <f t="shared" si="6"/>
        <v>0.58768946199999994</v>
      </c>
      <c r="N90" s="116">
        <f t="shared" si="25"/>
        <v>0.42407671577920003</v>
      </c>
      <c r="O90" s="116">
        <f t="shared" si="26"/>
        <v>0.51134860088620004</v>
      </c>
      <c r="P90" s="116">
        <f t="shared" si="27"/>
        <v>0.63449892764830007</v>
      </c>
    </row>
    <row r="91" spans="1:16" ht="15.75" x14ac:dyDescent="0.25">
      <c r="A91" s="296">
        <v>0.5</v>
      </c>
      <c r="B91" s="111">
        <f t="shared" si="10"/>
        <v>0.33925</v>
      </c>
      <c r="E91" s="116">
        <v>0.5</v>
      </c>
      <c r="F91" s="116">
        <v>0.37</v>
      </c>
      <c r="K91">
        <v>80</v>
      </c>
      <c r="L91" s="116">
        <f t="shared" si="5"/>
        <v>0.8</v>
      </c>
      <c r="M91" s="116">
        <f t="shared" si="6"/>
        <v>0.59929600000000005</v>
      </c>
      <c r="N91" s="116">
        <f>$M$4*M91*$M$7</f>
        <v>0.43245199360000008</v>
      </c>
      <c r="O91" s="116">
        <f>$M$5*M91*$M$7</f>
        <v>0.52144744960000011</v>
      </c>
      <c r="P91" s="116">
        <f>$M$6*M91*$M$7</f>
        <v>0.64702992640000012</v>
      </c>
    </row>
    <row r="92" spans="1:16" ht="15.75" x14ac:dyDescent="0.25">
      <c r="A92" s="296">
        <v>0.51</v>
      </c>
      <c r="B92" s="111">
        <f t="shared" si="10"/>
        <v>0.34567655800000002</v>
      </c>
      <c r="E92" s="116">
        <v>0.51</v>
      </c>
      <c r="F92" s="116">
        <f>F91+$G$93</f>
        <v>0.37680000000000002</v>
      </c>
      <c r="G92" t="s">
        <v>78</v>
      </c>
      <c r="K92">
        <v>81</v>
      </c>
      <c r="L92" s="116">
        <f t="shared" si="5"/>
        <v>0.81</v>
      </c>
      <c r="M92" s="116">
        <f t="shared" si="6"/>
        <v>0.61115837800000006</v>
      </c>
      <c r="N92" s="116">
        <f t="shared" ref="N92:N100" si="28">$M$4*M92*$M$7</f>
        <v>0.44101188556480009</v>
      </c>
      <c r="O92" s="116">
        <f t="shared" ref="O92:O100" si="29">$M$5*M92*$M$7</f>
        <v>0.53176890469780014</v>
      </c>
      <c r="P92" s="116">
        <f t="shared" ref="P92:P100" si="30">$M$6*M92*$M$7</f>
        <v>0.65983714280770012</v>
      </c>
    </row>
    <row r="93" spans="1:16" ht="15.75" x14ac:dyDescent="0.25">
      <c r="A93" s="296">
        <v>0.52</v>
      </c>
      <c r="B93" s="111">
        <f t="shared" si="10"/>
        <v>0.35220966399999998</v>
      </c>
      <c r="E93" s="116">
        <v>0.52</v>
      </c>
      <c r="F93" s="116">
        <f t="shared" ref="F93:F115" si="31">F92+$G$93</f>
        <v>0.38360000000000005</v>
      </c>
      <c r="G93">
        <f>(F116-F91)/25</f>
        <v>6.8000000000000014E-3</v>
      </c>
      <c r="K93">
        <v>82</v>
      </c>
      <c r="L93" s="116">
        <f t="shared" si="5"/>
        <v>0.82</v>
      </c>
      <c r="M93" s="116">
        <f t="shared" si="6"/>
        <v>0.62328174400000003</v>
      </c>
      <c r="N93" s="116">
        <f t="shared" si="28"/>
        <v>0.4497601064704001</v>
      </c>
      <c r="O93" s="116">
        <f t="shared" si="29"/>
        <v>0.54231744545440008</v>
      </c>
      <c r="P93" s="116">
        <f t="shared" si="30"/>
        <v>0.67292613490960018</v>
      </c>
    </row>
    <row r="94" spans="1:16" ht="15.75" x14ac:dyDescent="0.25">
      <c r="A94" s="296">
        <v>0.53</v>
      </c>
      <c r="B94" s="111">
        <f t="shared" si="10"/>
        <v>0.35885446599999998</v>
      </c>
      <c r="E94" s="116">
        <v>0.53</v>
      </c>
      <c r="F94" s="116">
        <f t="shared" si="31"/>
        <v>0.39040000000000008</v>
      </c>
      <c r="K94">
        <v>83</v>
      </c>
      <c r="L94" s="116">
        <f t="shared" si="5"/>
        <v>0.83</v>
      </c>
      <c r="M94" s="116">
        <f t="shared" si="6"/>
        <v>0.63567124600000002</v>
      </c>
      <c r="N94" s="116">
        <f t="shared" si="28"/>
        <v>0.45870037111360007</v>
      </c>
      <c r="O94" s="116">
        <f t="shared" si="29"/>
        <v>0.55309755114460002</v>
      </c>
      <c r="P94" s="116">
        <f t="shared" si="30"/>
        <v>0.68630246074390011</v>
      </c>
    </row>
    <row r="95" spans="1:16" ht="15.75" x14ac:dyDescent="0.25">
      <c r="A95" s="296">
        <v>0.54</v>
      </c>
      <c r="B95" s="111">
        <f t="shared" si="10"/>
        <v>0.36561611200000005</v>
      </c>
      <c r="E95" s="116">
        <v>0.54</v>
      </c>
      <c r="F95" s="116">
        <f t="shared" si="31"/>
        <v>0.39720000000000011</v>
      </c>
      <c r="K95">
        <v>84</v>
      </c>
      <c r="L95" s="116">
        <f t="shared" si="5"/>
        <v>0.84</v>
      </c>
      <c r="M95" s="116">
        <f t="shared" si="6"/>
        <v>0.64833203199999989</v>
      </c>
      <c r="N95" s="116">
        <f t="shared" si="28"/>
        <v>0.46783639429119994</v>
      </c>
      <c r="O95" s="116">
        <f t="shared" si="29"/>
        <v>0.56411370104320002</v>
      </c>
      <c r="P95" s="116">
        <f t="shared" si="30"/>
        <v>0.69997167834880003</v>
      </c>
    </row>
    <row r="96" spans="1:16" ht="15.75" x14ac:dyDescent="0.25">
      <c r="A96" s="296">
        <v>0.55000000000000004</v>
      </c>
      <c r="B96" s="111">
        <f t="shared" si="10"/>
        <v>0.37249974999999996</v>
      </c>
      <c r="E96" s="116">
        <v>0.55000000000000004</v>
      </c>
      <c r="F96" s="116">
        <f t="shared" si="31"/>
        <v>0.40400000000000014</v>
      </c>
      <c r="K96">
        <v>85</v>
      </c>
      <c r="L96" s="116">
        <f t="shared" ref="L96:L110" si="32">K96/100</f>
        <v>0.85</v>
      </c>
      <c r="M96" s="116">
        <f t="shared" ref="M96:M111" si="33">0.858*L96^3-0.78*L96^2+0.774*L96+0.04</f>
        <v>0.66126925000000003</v>
      </c>
      <c r="N96" s="116">
        <f t="shared" si="28"/>
        <v>0.47717189080000005</v>
      </c>
      <c r="O96" s="116">
        <f t="shared" si="29"/>
        <v>0.57537037442500005</v>
      </c>
      <c r="P96" s="116">
        <f t="shared" si="30"/>
        <v>0.71393934576250007</v>
      </c>
    </row>
    <row r="97" spans="1:16" ht="15.75" x14ac:dyDescent="0.25">
      <c r="A97" s="296">
        <v>0.56000000000000005</v>
      </c>
      <c r="B97" s="111">
        <f t="shared" si="10"/>
        <v>0.37951052800000001</v>
      </c>
      <c r="E97" s="116">
        <v>0.56000000000000005</v>
      </c>
      <c r="F97" s="116">
        <f t="shared" si="31"/>
        <v>0.41080000000000017</v>
      </c>
      <c r="K97">
        <v>86</v>
      </c>
      <c r="L97" s="116">
        <f t="shared" si="32"/>
        <v>0.86</v>
      </c>
      <c r="M97" s="116">
        <f t="shared" si="33"/>
        <v>0.67448804800000006</v>
      </c>
      <c r="N97" s="116">
        <f t="shared" si="28"/>
        <v>0.48671057543680007</v>
      </c>
      <c r="O97" s="116">
        <f t="shared" si="29"/>
        <v>0.58687205056480007</v>
      </c>
      <c r="P97" s="116">
        <f t="shared" si="30"/>
        <v>0.72821102102320012</v>
      </c>
    </row>
    <row r="98" spans="1:16" ht="15.75" x14ac:dyDescent="0.25">
      <c r="A98" s="296">
        <v>0.56999999999999995</v>
      </c>
      <c r="B98" s="111">
        <f t="shared" si="10"/>
        <v>0.38665359399999993</v>
      </c>
      <c r="E98" s="116">
        <v>0.56999999999999995</v>
      </c>
      <c r="F98" s="116">
        <f t="shared" si="31"/>
        <v>0.41760000000000019</v>
      </c>
      <c r="K98">
        <v>87</v>
      </c>
      <c r="L98" s="116">
        <f t="shared" si="32"/>
        <v>0.87</v>
      </c>
      <c r="M98" s="116">
        <f t="shared" si="33"/>
        <v>0.68799357399999994</v>
      </c>
      <c r="N98" s="116">
        <f t="shared" si="28"/>
        <v>0.49645616299840001</v>
      </c>
      <c r="O98" s="116">
        <f t="shared" si="29"/>
        <v>0.59862320873740005</v>
      </c>
      <c r="P98" s="116">
        <f t="shared" si="30"/>
        <v>0.7427922621691001</v>
      </c>
    </row>
    <row r="99" spans="1:16" ht="15.75" x14ac:dyDescent="0.25">
      <c r="A99" s="296">
        <v>0.57999999999999996</v>
      </c>
      <c r="B99" s="111">
        <f t="shared" si="10"/>
        <v>0.3939340959999999</v>
      </c>
      <c r="E99" s="116">
        <v>0.57999999999999996</v>
      </c>
      <c r="F99" s="116">
        <f t="shared" si="31"/>
        <v>0.42440000000000022</v>
      </c>
      <c r="K99">
        <v>88</v>
      </c>
      <c r="L99" s="116">
        <f t="shared" si="32"/>
        <v>0.88</v>
      </c>
      <c r="M99" s="116">
        <f t="shared" si="33"/>
        <v>0.70179097600000007</v>
      </c>
      <c r="N99" s="116">
        <f t="shared" si="28"/>
        <v>0.50641236828160008</v>
      </c>
      <c r="O99" s="116">
        <f t="shared" si="29"/>
        <v>0.61062832821760016</v>
      </c>
      <c r="P99" s="116">
        <f t="shared" si="30"/>
        <v>0.75768862723840014</v>
      </c>
    </row>
    <row r="100" spans="1:16" ht="16.5" thickBot="1" x14ac:dyDescent="0.3">
      <c r="A100" s="298">
        <v>0.59</v>
      </c>
      <c r="B100" s="115">
        <f t="shared" si="10"/>
        <v>0.40135718199999998</v>
      </c>
      <c r="E100" s="116">
        <v>0.59</v>
      </c>
      <c r="F100" s="116">
        <f t="shared" si="31"/>
        <v>0.43120000000000025</v>
      </c>
      <c r="K100">
        <v>89</v>
      </c>
      <c r="L100" s="116">
        <f t="shared" si="32"/>
        <v>0.89</v>
      </c>
      <c r="M100" s="116">
        <f t="shared" si="33"/>
        <v>0.71588540200000006</v>
      </c>
      <c r="N100" s="116">
        <f t="shared" si="28"/>
        <v>0.51658290608320012</v>
      </c>
      <c r="O100" s="116">
        <f t="shared" si="29"/>
        <v>0.62289188828020015</v>
      </c>
      <c r="P100" s="116">
        <f t="shared" si="30"/>
        <v>0.77290567426930024</v>
      </c>
    </row>
    <row r="101" spans="1:16" ht="15.75" x14ac:dyDescent="0.25">
      <c r="A101" s="296">
        <v>0.6</v>
      </c>
      <c r="B101" s="111">
        <f t="shared" si="10"/>
        <v>0.40892799999999996</v>
      </c>
      <c r="E101" s="116">
        <v>0.6</v>
      </c>
      <c r="F101" s="116">
        <f t="shared" si="31"/>
        <v>0.43800000000000028</v>
      </c>
      <c r="K101">
        <v>90</v>
      </c>
      <c r="L101" s="116">
        <f t="shared" si="32"/>
        <v>0.9</v>
      </c>
      <c r="M101" s="116">
        <f t="shared" si="33"/>
        <v>0.7302820000000001</v>
      </c>
      <c r="N101" s="116">
        <f>$M$4*M101*$M$7</f>
        <v>0.52697149120000009</v>
      </c>
      <c r="O101" s="116">
        <f>$M$5*M101*$M$7</f>
        <v>0.63541836820000019</v>
      </c>
      <c r="P101" s="116">
        <f>$M$6*M101*$M$7</f>
        <v>0.7884489613000002</v>
      </c>
    </row>
    <row r="102" spans="1:16" ht="15.75" x14ac:dyDescent="0.25">
      <c r="A102" s="296">
        <v>0.61</v>
      </c>
      <c r="B102" s="111">
        <f t="shared" si="10"/>
        <v>0.41665169799999996</v>
      </c>
      <c r="E102" s="116">
        <v>0.61</v>
      </c>
      <c r="F102" s="116">
        <f t="shared" si="31"/>
        <v>0.44480000000000031</v>
      </c>
      <c r="K102">
        <v>91</v>
      </c>
      <c r="L102" s="116">
        <f t="shared" si="32"/>
        <v>0.91</v>
      </c>
      <c r="M102" s="116">
        <f t="shared" si="33"/>
        <v>0.74498591800000014</v>
      </c>
      <c r="N102" s="116">
        <f t="shared" ref="N102:N110" si="34">$M$4*M102*$M$7</f>
        <v>0.53758183842880014</v>
      </c>
      <c r="O102" s="116">
        <f t="shared" ref="O102:O110" si="35">$M$5*M102*$M$7</f>
        <v>0.64821224725180016</v>
      </c>
      <c r="P102" s="116">
        <f t="shared" ref="P102:P110" si="36">$M$6*M102*$M$7</f>
        <v>0.80432404636870025</v>
      </c>
    </row>
    <row r="103" spans="1:16" ht="15.75" x14ac:dyDescent="0.25">
      <c r="A103" s="296">
        <v>0.62</v>
      </c>
      <c r="B103" s="111">
        <f t="shared" si="10"/>
        <v>0.42453342399999999</v>
      </c>
      <c r="E103" s="116">
        <v>0.62</v>
      </c>
      <c r="F103" s="116">
        <f t="shared" si="31"/>
        <v>0.45160000000000033</v>
      </c>
      <c r="K103">
        <v>92</v>
      </c>
      <c r="L103" s="116">
        <f t="shared" si="32"/>
        <v>0.92</v>
      </c>
      <c r="M103" s="116">
        <f t="shared" si="33"/>
        <v>0.76000230400000013</v>
      </c>
      <c r="N103" s="116">
        <f t="shared" si="34"/>
        <v>0.54841766256640023</v>
      </c>
      <c r="O103" s="116">
        <f t="shared" si="35"/>
        <v>0.66127800471040021</v>
      </c>
      <c r="P103" s="116">
        <f t="shared" si="36"/>
        <v>0.8205364875136002</v>
      </c>
    </row>
    <row r="104" spans="1:16" ht="15.75" x14ac:dyDescent="0.25">
      <c r="A104" s="296">
        <v>0.63</v>
      </c>
      <c r="B104" s="111">
        <f t="shared" si="10"/>
        <v>0.43257832599999996</v>
      </c>
      <c r="E104" s="116">
        <v>0.63</v>
      </c>
      <c r="F104" s="116">
        <f t="shared" si="31"/>
        <v>0.45840000000000036</v>
      </c>
      <c r="K104">
        <v>93</v>
      </c>
      <c r="L104" s="116">
        <f t="shared" si="32"/>
        <v>0.93</v>
      </c>
      <c r="M104" s="116">
        <f t="shared" si="33"/>
        <v>0.77533630599999992</v>
      </c>
      <c r="N104" s="116">
        <f t="shared" si="34"/>
        <v>0.55948267840960009</v>
      </c>
      <c r="O104" s="116">
        <f t="shared" si="35"/>
        <v>0.6746201198506</v>
      </c>
      <c r="P104" s="116">
        <f t="shared" si="36"/>
        <v>0.83709184277290005</v>
      </c>
    </row>
    <row r="105" spans="1:16" ht="15.75" x14ac:dyDescent="0.25">
      <c r="A105" s="296">
        <v>0.64</v>
      </c>
      <c r="B105" s="111">
        <f t="shared" ref="B105:B130" si="37">0.858*A105^3-0.78*A105^2+0.774*A105+0.04</f>
        <v>0.44079155199999998</v>
      </c>
      <c r="E105" s="116">
        <v>0.64</v>
      </c>
      <c r="F105" s="116">
        <f t="shared" si="31"/>
        <v>0.46520000000000039</v>
      </c>
      <c r="K105">
        <v>94</v>
      </c>
      <c r="L105" s="116">
        <f t="shared" si="32"/>
        <v>0.94</v>
      </c>
      <c r="M105" s="116">
        <f t="shared" si="33"/>
        <v>0.79099307200000002</v>
      </c>
      <c r="N105" s="116">
        <f t="shared" si="34"/>
        <v>0.5707806007552001</v>
      </c>
      <c r="O105" s="116">
        <f t="shared" si="35"/>
        <v>0.68824307194720002</v>
      </c>
      <c r="P105" s="116">
        <f t="shared" si="36"/>
        <v>0.85399567018480016</v>
      </c>
    </row>
    <row r="106" spans="1:16" ht="15.75" x14ac:dyDescent="0.25">
      <c r="A106" s="296">
        <v>0.65</v>
      </c>
      <c r="B106" s="111">
        <f t="shared" si="37"/>
        <v>0.44917824999999995</v>
      </c>
      <c r="E106" s="116">
        <v>0.65</v>
      </c>
      <c r="F106" s="116">
        <f t="shared" si="31"/>
        <v>0.47200000000000042</v>
      </c>
      <c r="K106">
        <v>95</v>
      </c>
      <c r="L106" s="116">
        <f t="shared" si="32"/>
        <v>0.95</v>
      </c>
      <c r="M106" s="116">
        <f t="shared" si="33"/>
        <v>0.80697774999999994</v>
      </c>
      <c r="N106" s="116">
        <f t="shared" si="34"/>
        <v>0.5823151444000001</v>
      </c>
      <c r="O106" s="116">
        <f t="shared" si="35"/>
        <v>0.70215134027500004</v>
      </c>
      <c r="P106" s="116">
        <f t="shared" si="36"/>
        <v>0.87125352778750009</v>
      </c>
    </row>
    <row r="107" spans="1:16" ht="15.75" x14ac:dyDescent="0.25">
      <c r="A107" s="296">
        <v>0.66</v>
      </c>
      <c r="B107" s="111">
        <f t="shared" si="37"/>
        <v>0.45774356799999999</v>
      </c>
      <c r="E107" s="116">
        <v>0.66</v>
      </c>
      <c r="F107" s="116">
        <f t="shared" si="31"/>
        <v>0.47880000000000045</v>
      </c>
      <c r="K107">
        <v>96</v>
      </c>
      <c r="L107" s="116">
        <f t="shared" si="32"/>
        <v>0.96</v>
      </c>
      <c r="M107" s="116">
        <f t="shared" si="33"/>
        <v>0.82329548799999996</v>
      </c>
      <c r="N107" s="116">
        <f t="shared" si="34"/>
        <v>0.59409002414080003</v>
      </c>
      <c r="O107" s="116">
        <f t="shared" si="35"/>
        <v>0.7163494041088001</v>
      </c>
      <c r="P107" s="116">
        <f t="shared" si="36"/>
        <v>0.88887097361920009</v>
      </c>
    </row>
    <row r="108" spans="1:16" ht="15.75" x14ac:dyDescent="0.25">
      <c r="A108" s="296">
        <v>0.67</v>
      </c>
      <c r="B108" s="111">
        <f t="shared" si="37"/>
        <v>0.46649265400000001</v>
      </c>
      <c r="E108" s="116">
        <v>0.67</v>
      </c>
      <c r="F108" s="116">
        <f t="shared" si="31"/>
        <v>0.48560000000000048</v>
      </c>
      <c r="K108">
        <v>97</v>
      </c>
      <c r="L108" s="116">
        <f t="shared" si="32"/>
        <v>0.97</v>
      </c>
      <c r="M108" s="116">
        <f t="shared" si="33"/>
        <v>0.83995143400000005</v>
      </c>
      <c r="N108" s="116">
        <f t="shared" si="34"/>
        <v>0.60610895477440008</v>
      </c>
      <c r="O108" s="116">
        <f t="shared" si="35"/>
        <v>0.73084174272340019</v>
      </c>
      <c r="P108" s="116">
        <f t="shared" si="36"/>
        <v>0.90685356571810016</v>
      </c>
    </row>
    <row r="109" spans="1:16" ht="15.75" x14ac:dyDescent="0.25">
      <c r="A109" s="296">
        <v>0.68</v>
      </c>
      <c r="B109" s="111">
        <f t="shared" si="37"/>
        <v>0.47543065599999995</v>
      </c>
      <c r="E109" s="116">
        <v>0.68</v>
      </c>
      <c r="F109" s="116">
        <f t="shared" si="31"/>
        <v>0.4924000000000005</v>
      </c>
      <c r="K109">
        <v>98</v>
      </c>
      <c r="L109" s="116">
        <f t="shared" si="32"/>
        <v>0.98</v>
      </c>
      <c r="M109" s="116">
        <f t="shared" si="33"/>
        <v>0.85695073599999994</v>
      </c>
      <c r="N109" s="116">
        <f t="shared" si="34"/>
        <v>0.61837565109759995</v>
      </c>
      <c r="O109" s="116">
        <f t="shared" si="35"/>
        <v>0.74563283539360004</v>
      </c>
      <c r="P109" s="116">
        <f t="shared" si="36"/>
        <v>0.92520686212240011</v>
      </c>
    </row>
    <row r="110" spans="1:16" ht="15.75" x14ac:dyDescent="0.25">
      <c r="A110" s="297">
        <v>0.69</v>
      </c>
      <c r="B110" s="113">
        <f t="shared" si="37"/>
        <v>0.48456272199999995</v>
      </c>
      <c r="E110" s="116">
        <v>0.69</v>
      </c>
      <c r="F110" s="116">
        <f t="shared" si="31"/>
        <v>0.49920000000000053</v>
      </c>
      <c r="K110">
        <v>99</v>
      </c>
      <c r="L110" s="116">
        <f t="shared" si="32"/>
        <v>0.99</v>
      </c>
      <c r="M110" s="116">
        <f t="shared" si="33"/>
        <v>0.87429854200000001</v>
      </c>
      <c r="N110" s="116">
        <f t="shared" si="34"/>
        <v>0.63089382790720006</v>
      </c>
      <c r="O110" s="116">
        <f t="shared" si="35"/>
        <v>0.76072716139420005</v>
      </c>
      <c r="P110" s="116">
        <f t="shared" si="36"/>
        <v>0.94393642087030016</v>
      </c>
    </row>
    <row r="111" spans="1:16" ht="15.75" x14ac:dyDescent="0.25">
      <c r="A111" s="296">
        <v>0.7</v>
      </c>
      <c r="B111" s="111">
        <f t="shared" si="37"/>
        <v>0.49389399999999989</v>
      </c>
      <c r="E111" s="116">
        <v>0.7</v>
      </c>
      <c r="F111" s="116">
        <f t="shared" si="31"/>
        <v>0.50600000000000056</v>
      </c>
      <c r="K111">
        <v>100</v>
      </c>
      <c r="L111" s="116">
        <v>1</v>
      </c>
      <c r="M111" s="116">
        <f t="shared" si="33"/>
        <v>0.89200000000000002</v>
      </c>
      <c r="N111" s="116">
        <f>$M$4*M111*$M$7</f>
        <v>0.64366720000000011</v>
      </c>
      <c r="O111" s="116">
        <f>$M$5*M111*$M$7</f>
        <v>0.77612920000000019</v>
      </c>
      <c r="P111" s="116">
        <f>$M$6*M111*$M$7</f>
        <v>0.96304780000000012</v>
      </c>
    </row>
    <row r="112" spans="1:16" ht="15.75" x14ac:dyDescent="0.25">
      <c r="A112" s="296">
        <v>0.71</v>
      </c>
      <c r="B112" s="111">
        <f t="shared" si="37"/>
        <v>0.50342963800000007</v>
      </c>
      <c r="E112" s="116">
        <v>0.71</v>
      </c>
      <c r="F112" s="116">
        <f t="shared" si="31"/>
        <v>0.51280000000000059</v>
      </c>
    </row>
    <row r="113" spans="1:7" ht="15.75" x14ac:dyDescent="0.25">
      <c r="A113" s="296">
        <v>0.72</v>
      </c>
      <c r="B113" s="111">
        <f t="shared" si="37"/>
        <v>0.51317478399999994</v>
      </c>
      <c r="E113" s="116">
        <v>0.72</v>
      </c>
      <c r="F113" s="116">
        <f t="shared" si="31"/>
        <v>0.51960000000000062</v>
      </c>
    </row>
    <row r="114" spans="1:7" ht="15.75" x14ac:dyDescent="0.25">
      <c r="A114" s="296">
        <v>0.73</v>
      </c>
      <c r="B114" s="111">
        <f t="shared" si="37"/>
        <v>0.52313458599999996</v>
      </c>
      <c r="E114" s="116">
        <v>0.73</v>
      </c>
      <c r="F114" s="116">
        <f t="shared" si="31"/>
        <v>0.52640000000000065</v>
      </c>
    </row>
    <row r="115" spans="1:7" ht="15.75" x14ac:dyDescent="0.25">
      <c r="A115" s="296">
        <v>0.74</v>
      </c>
      <c r="B115" s="111">
        <f t="shared" si="37"/>
        <v>0.53331419199999996</v>
      </c>
      <c r="E115" s="116">
        <v>0.74</v>
      </c>
      <c r="F115" s="116">
        <f t="shared" si="31"/>
        <v>0.53320000000000067</v>
      </c>
    </row>
    <row r="116" spans="1:7" ht="15.75" x14ac:dyDescent="0.25">
      <c r="A116" s="296">
        <v>0.75</v>
      </c>
      <c r="B116" s="111">
        <f t="shared" si="37"/>
        <v>0.54371875000000003</v>
      </c>
      <c r="E116" s="116">
        <v>0.75</v>
      </c>
      <c r="F116" s="116">
        <v>0.54</v>
      </c>
      <c r="G116" t="s">
        <v>78</v>
      </c>
    </row>
    <row r="117" spans="1:7" ht="15.75" x14ac:dyDescent="0.25">
      <c r="A117" s="296">
        <v>0.76</v>
      </c>
      <c r="B117" s="111">
        <f t="shared" si="37"/>
        <v>0.55435340799999999</v>
      </c>
      <c r="E117" s="116">
        <v>0.76</v>
      </c>
      <c r="F117" s="116">
        <f>F116+$G$117</f>
        <v>0.54760000000000009</v>
      </c>
      <c r="G117">
        <f>(F141-F116)/25</f>
        <v>7.5999999999999983E-3</v>
      </c>
    </row>
    <row r="118" spans="1:7" ht="15.75" x14ac:dyDescent="0.25">
      <c r="A118" s="296">
        <v>0.77</v>
      </c>
      <c r="B118" s="111">
        <f t="shared" si="37"/>
        <v>0.56522331400000014</v>
      </c>
      <c r="E118" s="116">
        <v>0.77</v>
      </c>
      <c r="F118" s="116">
        <f t="shared" ref="F118:F140" si="38">F117+$G$117</f>
        <v>0.55520000000000014</v>
      </c>
    </row>
    <row r="119" spans="1:7" ht="15.75" x14ac:dyDescent="0.25">
      <c r="A119" s="296">
        <v>0.78</v>
      </c>
      <c r="B119" s="111">
        <f t="shared" si="37"/>
        <v>0.5763336160000001</v>
      </c>
      <c r="E119" s="116">
        <v>0.78</v>
      </c>
      <c r="F119" s="116">
        <f t="shared" si="38"/>
        <v>0.56280000000000019</v>
      </c>
    </row>
    <row r="120" spans="1:7" ht="15.75" x14ac:dyDescent="0.25">
      <c r="A120" s="297">
        <v>0.79</v>
      </c>
      <c r="B120" s="113">
        <f t="shared" si="37"/>
        <v>0.58768946199999994</v>
      </c>
      <c r="E120" s="116">
        <v>0.79</v>
      </c>
      <c r="F120" s="116">
        <f t="shared" si="38"/>
        <v>0.57040000000000024</v>
      </c>
    </row>
    <row r="121" spans="1:7" ht="15.75" x14ac:dyDescent="0.25">
      <c r="A121" s="296">
        <v>0.8</v>
      </c>
      <c r="B121" s="111">
        <f t="shared" si="37"/>
        <v>0.59929600000000005</v>
      </c>
      <c r="E121" s="116">
        <v>0.8</v>
      </c>
      <c r="F121" s="116">
        <f t="shared" si="38"/>
        <v>0.57800000000000029</v>
      </c>
    </row>
    <row r="122" spans="1:7" ht="15.75" x14ac:dyDescent="0.25">
      <c r="A122" s="296">
        <v>0.81</v>
      </c>
      <c r="B122" s="111">
        <f t="shared" si="37"/>
        <v>0.61115837800000006</v>
      </c>
      <c r="E122" s="116">
        <v>0.81</v>
      </c>
      <c r="F122" s="116">
        <f t="shared" si="38"/>
        <v>0.58560000000000034</v>
      </c>
    </row>
    <row r="123" spans="1:7" ht="15.75" x14ac:dyDescent="0.25">
      <c r="A123" s="296">
        <v>0.82</v>
      </c>
      <c r="B123" s="111">
        <f t="shared" si="37"/>
        <v>0.62328174400000003</v>
      </c>
      <c r="E123" s="116">
        <v>0.82000000000000095</v>
      </c>
      <c r="F123" s="116">
        <f t="shared" si="38"/>
        <v>0.59320000000000039</v>
      </c>
    </row>
    <row r="124" spans="1:7" ht="15.75" x14ac:dyDescent="0.25">
      <c r="A124" s="296">
        <v>0.83</v>
      </c>
      <c r="B124" s="111">
        <f t="shared" si="37"/>
        <v>0.63567124600000002</v>
      </c>
      <c r="E124" s="116">
        <v>0.83000000000000096</v>
      </c>
      <c r="F124" s="116">
        <f t="shared" si="38"/>
        <v>0.60080000000000044</v>
      </c>
    </row>
    <row r="125" spans="1:7" ht="15.75" x14ac:dyDescent="0.25">
      <c r="A125" s="296">
        <v>0.84</v>
      </c>
      <c r="B125" s="111">
        <f t="shared" si="37"/>
        <v>0.64833203199999989</v>
      </c>
      <c r="E125" s="116">
        <v>0.84000000000000097</v>
      </c>
      <c r="F125" s="116">
        <f t="shared" si="38"/>
        <v>0.6084000000000005</v>
      </c>
    </row>
    <row r="126" spans="1:7" ht="15.75" x14ac:dyDescent="0.25">
      <c r="A126" s="296">
        <v>0.85</v>
      </c>
      <c r="B126" s="111">
        <f t="shared" si="37"/>
        <v>0.66126925000000003</v>
      </c>
      <c r="E126" s="116">
        <v>0.85000000000000098</v>
      </c>
      <c r="F126" s="116">
        <f t="shared" si="38"/>
        <v>0.61600000000000055</v>
      </c>
    </row>
    <row r="127" spans="1:7" ht="15.75" x14ac:dyDescent="0.25">
      <c r="A127" s="296">
        <v>0.86</v>
      </c>
      <c r="B127" s="111">
        <f t="shared" si="37"/>
        <v>0.67448804800000006</v>
      </c>
      <c r="E127" s="116">
        <v>0.86000000000000099</v>
      </c>
      <c r="F127" s="116">
        <f t="shared" si="38"/>
        <v>0.6236000000000006</v>
      </c>
    </row>
    <row r="128" spans="1:7" ht="15.75" x14ac:dyDescent="0.25">
      <c r="A128" s="296">
        <v>0.87</v>
      </c>
      <c r="B128" s="111">
        <f t="shared" si="37"/>
        <v>0.68799357399999994</v>
      </c>
      <c r="E128" s="116">
        <v>0.87000000000000099</v>
      </c>
      <c r="F128" s="116">
        <f t="shared" si="38"/>
        <v>0.63120000000000065</v>
      </c>
    </row>
    <row r="129" spans="1:6" ht="15.75" x14ac:dyDescent="0.25">
      <c r="A129" s="296">
        <v>0.88</v>
      </c>
      <c r="B129" s="111">
        <f t="shared" si="37"/>
        <v>0.70179097600000007</v>
      </c>
      <c r="E129" s="116">
        <v>0.880000000000001</v>
      </c>
      <c r="F129" s="116">
        <f t="shared" si="38"/>
        <v>0.6388000000000007</v>
      </c>
    </row>
    <row r="130" spans="1:6" ht="16.5" thickBot="1" x14ac:dyDescent="0.3">
      <c r="A130" s="298">
        <v>0.89</v>
      </c>
      <c r="B130" s="115">
        <f t="shared" si="37"/>
        <v>0.71588540200000006</v>
      </c>
      <c r="E130" s="116">
        <v>0.89000000000000101</v>
      </c>
      <c r="F130" s="116">
        <f t="shared" si="38"/>
        <v>0.64640000000000075</v>
      </c>
    </row>
    <row r="131" spans="1:6" x14ac:dyDescent="0.25">
      <c r="E131" s="116">
        <v>0.90000000000000102</v>
      </c>
      <c r="F131" s="116">
        <f t="shared" si="38"/>
        <v>0.6540000000000008</v>
      </c>
    </row>
    <row r="132" spans="1:6" x14ac:dyDescent="0.25">
      <c r="E132" s="116">
        <v>0.91000000000000103</v>
      </c>
      <c r="F132" s="116">
        <f t="shared" si="38"/>
        <v>0.66160000000000085</v>
      </c>
    </row>
    <row r="133" spans="1:6" x14ac:dyDescent="0.25">
      <c r="E133" s="116">
        <v>0.92000000000000104</v>
      </c>
      <c r="F133" s="116">
        <f t="shared" si="38"/>
        <v>0.66920000000000091</v>
      </c>
    </row>
    <row r="134" spans="1:6" x14ac:dyDescent="0.25">
      <c r="E134" s="116">
        <v>0.93000000000000105</v>
      </c>
      <c r="F134" s="116">
        <f t="shared" si="38"/>
        <v>0.67680000000000096</v>
      </c>
    </row>
    <row r="135" spans="1:6" x14ac:dyDescent="0.25">
      <c r="E135" s="116">
        <v>0.94000000000000095</v>
      </c>
      <c r="F135" s="116">
        <f t="shared" si="38"/>
        <v>0.68440000000000101</v>
      </c>
    </row>
    <row r="136" spans="1:6" x14ac:dyDescent="0.25">
      <c r="E136" s="116">
        <v>0.95000000000000095</v>
      </c>
      <c r="F136" s="116">
        <f t="shared" si="38"/>
        <v>0.69200000000000106</v>
      </c>
    </row>
    <row r="137" spans="1:6" x14ac:dyDescent="0.25">
      <c r="E137" s="116">
        <v>0.96000000000000096</v>
      </c>
      <c r="F137" s="116">
        <f t="shared" si="38"/>
        <v>0.69960000000000111</v>
      </c>
    </row>
    <row r="138" spans="1:6" x14ac:dyDescent="0.25">
      <c r="E138" s="116">
        <v>0.97000000000000097</v>
      </c>
      <c r="F138" s="116">
        <f t="shared" si="38"/>
        <v>0.70720000000000116</v>
      </c>
    </row>
    <row r="139" spans="1:6" x14ac:dyDescent="0.25">
      <c r="E139" s="116">
        <v>0.98000000000000098</v>
      </c>
      <c r="F139" s="116">
        <f t="shared" si="38"/>
        <v>0.71480000000000121</v>
      </c>
    </row>
    <row r="140" spans="1:6" x14ac:dyDescent="0.25">
      <c r="E140" s="116">
        <v>0.99000000000000099</v>
      </c>
      <c r="F140" s="116">
        <f t="shared" si="38"/>
        <v>0.72240000000000126</v>
      </c>
    </row>
    <row r="141" spans="1:6" x14ac:dyDescent="0.25">
      <c r="E141" s="116">
        <v>1</v>
      </c>
      <c r="F141" s="116">
        <v>0.73</v>
      </c>
    </row>
  </sheetData>
  <mergeCells count="4">
    <mergeCell ref="B3:C3"/>
    <mergeCell ref="E2:F2"/>
    <mergeCell ref="E14:F14"/>
    <mergeCell ref="B26:C26"/>
  </mergeCell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A3" sqref="A3"/>
    </sheetView>
  </sheetViews>
  <sheetFormatPr defaultRowHeight="15" x14ac:dyDescent="0.25"/>
  <cols>
    <col min="1" max="1" width="9.7109375" bestFit="1" customWidth="1"/>
  </cols>
  <sheetData>
    <row r="1" spans="1:3" x14ac:dyDescent="0.25">
      <c r="A1" s="323">
        <v>41078</v>
      </c>
      <c r="B1" t="s">
        <v>250</v>
      </c>
      <c r="C1" t="s">
        <v>251</v>
      </c>
    </row>
    <row r="2" spans="1:3" x14ac:dyDescent="0.25">
      <c r="A2" s="323">
        <v>41081</v>
      </c>
      <c r="B2" t="s">
        <v>250</v>
      </c>
      <c r="C2" t="s">
        <v>265</v>
      </c>
    </row>
    <row r="3" spans="1:3" x14ac:dyDescent="0.25">
      <c r="A3" s="323">
        <v>41081</v>
      </c>
      <c r="B3" t="s">
        <v>250</v>
      </c>
      <c r="C3" t="s">
        <v>266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42</vt:i4>
      </vt:variant>
    </vt:vector>
  </HeadingPairs>
  <TitlesOfParts>
    <vt:vector size="46" baseType="lpstr">
      <vt:lpstr>Residential</vt:lpstr>
      <vt:lpstr>Imperviousconversion</vt:lpstr>
      <vt:lpstr>background</vt:lpstr>
      <vt:lpstr>revisions</vt:lpstr>
      <vt:lpstr>Box_A</vt:lpstr>
      <vt:lpstr>Box_AAT</vt:lpstr>
      <vt:lpstr>Box_ACDP</vt:lpstr>
      <vt:lpstr>Box_AD</vt:lpstr>
      <vt:lpstr>Box_ALIDC</vt:lpstr>
      <vt:lpstr>Box_AOS</vt:lpstr>
      <vt:lpstr>Box_APSOS</vt:lpstr>
      <vt:lpstr>Box_ARDperEF</vt:lpstr>
      <vt:lpstr>Box_AT</vt:lpstr>
      <vt:lpstr>Box_bio_design_rainfall_depth</vt:lpstr>
      <vt:lpstr>Box_bioret_area</vt:lpstr>
      <vt:lpstr>Box_capture_vol_inf</vt:lpstr>
      <vt:lpstr>Box_EAM</vt:lpstr>
      <vt:lpstr>Box_I</vt:lpstr>
      <vt:lpstr>Box_I1</vt:lpstr>
      <vt:lpstr>Box_IA</vt:lpstr>
      <vt:lpstr>Box_ImpAreaToAutoCapture</vt:lpstr>
      <vt:lpstr>Box_ImpAreaToBioretention</vt:lpstr>
      <vt:lpstr>Box_ImpAreaToCapture</vt:lpstr>
      <vt:lpstr>Box_ImpAreaToInfiltration</vt:lpstr>
      <vt:lpstr>Box_ImpAreaToInfOption2</vt:lpstr>
      <vt:lpstr>Box_ImpAreaToMulch</vt:lpstr>
      <vt:lpstr>Box_inf_design_rainfall_depth</vt:lpstr>
      <vt:lpstr>Box_Inf_Rainfall_Design_Depth</vt:lpstr>
      <vt:lpstr>Box_mulch_area</vt:lpstr>
      <vt:lpstr>Box_RMC_pts</vt:lpstr>
      <vt:lpstr>Box_RRC_pts</vt:lpstr>
      <vt:lpstr>Box_RRCOS</vt:lpstr>
      <vt:lpstr>Box_RRCOS_pts</vt:lpstr>
      <vt:lpstr>Box_RRCtreatment_pts</vt:lpstr>
      <vt:lpstr>Box_soil_inf_rate</vt:lpstr>
      <vt:lpstr>Box_soil_surface_area</vt:lpstr>
      <vt:lpstr>CASQA_drdn</vt:lpstr>
      <vt:lpstr>cities</vt:lpstr>
      <vt:lpstr>drawdown_hrs</vt:lpstr>
      <vt:lpstr>drawdown_hrs_inf</vt:lpstr>
      <vt:lpstr>drawdown_time</vt:lpstr>
      <vt:lpstr>DU</vt:lpstr>
      <vt:lpstr>DUA</vt:lpstr>
      <vt:lpstr>PondingDepth</vt:lpstr>
      <vt:lpstr>Residential!Print_Area</vt:lpstr>
      <vt:lpstr>TotalLIDCredit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Currier</dc:creator>
  <cp:lastModifiedBy>Dawn Pimentel</cp:lastModifiedBy>
  <cp:lastPrinted>2019-01-18T18:05:33Z</cp:lastPrinted>
  <dcterms:created xsi:type="dcterms:W3CDTF">2012-03-19T23:11:10Z</dcterms:created>
  <dcterms:modified xsi:type="dcterms:W3CDTF">2019-01-18T18:05:37Z</dcterms:modified>
</cp:coreProperties>
</file>